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 tabRatio="1000" firstSheet="1" activeTab="1"/>
  </bookViews>
  <sheets>
    <sheet name="Jr. Beregning Opr." sheetId="1" state="hidden" r:id="rId1"/>
    <sheet name="Model 2" sheetId="3" r:id="rId2"/>
  </sheets>
  <calcPr calcId="152511"/>
</workbook>
</file>

<file path=xl/calcChain.xml><?xml version="1.0" encoding="utf-8"?>
<calcChain xmlns="http://schemas.openxmlformats.org/spreadsheetml/2006/main">
  <c r="Q34" i="3" l="1"/>
  <c r="P27" i="3" l="1"/>
  <c r="N37" i="3" l="1"/>
  <c r="Q6" i="3"/>
  <c r="O27" i="3"/>
  <c r="O7" i="3"/>
  <c r="P7" i="3" s="1"/>
  <c r="O8" i="3"/>
  <c r="P8" i="3" s="1"/>
  <c r="O9" i="3"/>
  <c r="P9" i="3" s="1"/>
  <c r="O11" i="3"/>
  <c r="P11" i="3" s="1"/>
  <c r="O12" i="3"/>
  <c r="P12" i="3" s="1"/>
  <c r="O14" i="3"/>
  <c r="P14" i="3" s="1"/>
  <c r="O15" i="3"/>
  <c r="P15" i="3" s="1"/>
  <c r="O16" i="3"/>
  <c r="P16" i="3" s="1"/>
  <c r="O17" i="3"/>
  <c r="P17" i="3" s="1"/>
  <c r="O19" i="3"/>
  <c r="P19" i="3" s="1"/>
  <c r="O20" i="3"/>
  <c r="P20" i="3" s="1"/>
  <c r="O21" i="3"/>
  <c r="P21" i="3" s="1"/>
  <c r="O22" i="3"/>
  <c r="P22" i="3" s="1"/>
  <c r="O23" i="3"/>
  <c r="P23" i="3" s="1"/>
  <c r="O6" i="3"/>
  <c r="N6" i="3"/>
  <c r="Q7" i="3"/>
  <c r="Q8" i="3"/>
  <c r="Q9" i="3"/>
  <c r="Q11" i="3"/>
  <c r="Q12" i="3"/>
  <c r="Q14" i="3"/>
  <c r="Q15" i="3"/>
  <c r="Q16" i="3"/>
  <c r="Q17" i="3"/>
  <c r="Q19" i="3"/>
  <c r="Q20" i="3"/>
  <c r="Q21" i="3"/>
  <c r="Q22" i="3"/>
  <c r="Q23" i="3"/>
  <c r="Q27" i="3"/>
  <c r="P6" i="3" l="1"/>
  <c r="S6" i="3" s="1"/>
  <c r="N27" i="3"/>
  <c r="N7" i="3" l="1"/>
  <c r="N8" i="3"/>
  <c r="N9" i="3"/>
  <c r="N11" i="3"/>
  <c r="N12" i="3"/>
  <c r="N14" i="3"/>
  <c r="N15" i="3"/>
  <c r="N16" i="3"/>
  <c r="N17" i="3"/>
  <c r="N19" i="3"/>
  <c r="N20" i="3"/>
  <c r="N21" i="3"/>
  <c r="N22" i="3"/>
  <c r="N23" i="3"/>
  <c r="N25" i="3" l="1"/>
  <c r="N29" i="3" s="1"/>
  <c r="J27" i="3"/>
  <c r="I32" i="3"/>
  <c r="S27" i="3" l="1"/>
  <c r="S14" i="3" l="1"/>
  <c r="K21" i="3" l="1"/>
  <c r="K27" i="3"/>
  <c r="K12" i="3"/>
  <c r="K9" i="3"/>
  <c r="K15" i="3"/>
  <c r="K7" i="3"/>
  <c r="K8" i="3"/>
  <c r="K11" i="3"/>
  <c r="K14" i="3"/>
  <c r="K16" i="3"/>
  <c r="K17" i="3"/>
  <c r="K19" i="3"/>
  <c r="K20" i="3"/>
  <c r="K22" i="3"/>
  <c r="K23" i="3"/>
  <c r="K6" i="3"/>
  <c r="I27" i="3"/>
  <c r="I7" i="3"/>
  <c r="I8" i="3"/>
  <c r="I9" i="3"/>
  <c r="I11" i="3"/>
  <c r="I12" i="3"/>
  <c r="I14" i="3"/>
  <c r="I15" i="3"/>
  <c r="I16" i="3"/>
  <c r="I17" i="3"/>
  <c r="I18" i="3"/>
  <c r="I19" i="3"/>
  <c r="I20" i="3"/>
  <c r="I21" i="3"/>
  <c r="I22" i="3"/>
  <c r="I23" i="3"/>
  <c r="I6" i="3"/>
  <c r="S12" i="3" l="1"/>
  <c r="S11" i="3"/>
  <c r="S17" i="3" l="1"/>
  <c r="S15" i="3"/>
  <c r="S16" i="3"/>
  <c r="Q25" i="3" l="1"/>
  <c r="Q29" i="3" s="1"/>
  <c r="P25" i="3"/>
  <c r="P29" i="3" s="1"/>
  <c r="Q35" i="3" s="1"/>
  <c r="S23" i="3"/>
  <c r="S20" i="3"/>
  <c r="S8" i="3"/>
  <c r="S9" i="3"/>
  <c r="S19" i="3" l="1"/>
  <c r="S21" i="3"/>
  <c r="S22" i="3"/>
  <c r="S7" i="3"/>
  <c r="L27" i="3"/>
  <c r="D45" i="3"/>
  <c r="S25" i="3" l="1"/>
  <c r="S29" i="3" s="1"/>
  <c r="D41" i="3"/>
  <c r="D39" i="3"/>
  <c r="F25" i="3" l="1"/>
  <c r="F29" i="3" s="1"/>
  <c r="D25" i="3" l="1"/>
  <c r="D29" i="3" s="1"/>
  <c r="E25" i="3"/>
  <c r="K25" i="3"/>
  <c r="I25" i="3"/>
  <c r="D48" i="3"/>
  <c r="N33" i="3" l="1"/>
  <c r="I35" i="3"/>
  <c r="D52" i="3"/>
  <c r="K29" i="3"/>
  <c r="E29" i="3"/>
  <c r="I29" i="3"/>
  <c r="I34" i="3" s="1"/>
  <c r="N8" i="1"/>
  <c r="M8" i="1"/>
  <c r="K44" i="1"/>
  <c r="L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  <c r="F34" i="1"/>
  <c r="I44" i="1"/>
  <c r="C47" i="1"/>
  <c r="N36" i="3" l="1"/>
  <c r="Q36" i="3" s="1"/>
  <c r="G53" i="1"/>
  <c r="F53" i="1"/>
  <c r="R6" i="3" l="1"/>
  <c r="T6" i="3" s="1"/>
  <c r="R21" i="3"/>
  <c r="T21" i="3" s="1"/>
  <c r="R17" i="3"/>
  <c r="T17" i="3" s="1"/>
  <c r="R16" i="3"/>
  <c r="T16" i="3" s="1"/>
  <c r="R11" i="3"/>
  <c r="T11" i="3" s="1"/>
  <c r="R12" i="3"/>
  <c r="T12" i="3" s="1"/>
  <c r="R22" i="3"/>
  <c r="T22" i="3" s="1"/>
  <c r="R23" i="3"/>
  <c r="T23" i="3" s="1"/>
  <c r="R7" i="3"/>
  <c r="T7" i="3" s="1"/>
  <c r="R8" i="3"/>
  <c r="T8" i="3" s="1"/>
  <c r="R14" i="3"/>
  <c r="T14" i="3" s="1"/>
  <c r="R15" i="3"/>
  <c r="T15" i="3" s="1"/>
  <c r="R19" i="3"/>
  <c r="T19" i="3" s="1"/>
  <c r="R20" i="3"/>
  <c r="T20" i="3" s="1"/>
  <c r="R27" i="3"/>
  <c r="T27" i="3" s="1"/>
  <c r="R9" i="3"/>
  <c r="T9" i="3" s="1"/>
  <c r="T25" i="3" s="1"/>
  <c r="T29" i="3" s="1"/>
  <c r="L23" i="3"/>
  <c r="L9" i="3"/>
  <c r="L8" i="3"/>
  <c r="L22" i="3"/>
  <c r="L17" i="3"/>
  <c r="L20" i="3"/>
  <c r="L19" i="3"/>
  <c r="L15" i="3"/>
  <c r="L12" i="3"/>
  <c r="L11" i="3"/>
  <c r="L7" i="3"/>
  <c r="L14" i="3"/>
  <c r="L16" i="3"/>
  <c r="L21" i="3"/>
  <c r="L6" i="3"/>
  <c r="J25" i="3"/>
  <c r="J29" i="3" s="1"/>
  <c r="K9" i="1"/>
  <c r="K10" i="1"/>
  <c r="K12" i="1"/>
  <c r="K13" i="1"/>
  <c r="K14" i="1"/>
  <c r="K15" i="1"/>
  <c r="K17" i="1"/>
  <c r="K18" i="1"/>
  <c r="K20" i="1"/>
  <c r="K21" i="1"/>
  <c r="K22" i="1"/>
  <c r="K26" i="1"/>
  <c r="K28" i="1"/>
  <c r="K29" i="1"/>
  <c r="K30" i="1"/>
  <c r="K8" i="1"/>
  <c r="J32" i="1"/>
  <c r="J38" i="1" s="1"/>
  <c r="H55" i="1"/>
  <c r="H53" i="1"/>
  <c r="B58" i="1"/>
  <c r="M13" i="1"/>
  <c r="M27" i="1"/>
  <c r="M9" i="1"/>
  <c r="M10" i="1"/>
  <c r="M11" i="1"/>
  <c r="M14" i="1"/>
  <c r="M15" i="1"/>
  <c r="M16" i="1"/>
  <c r="M19" i="1"/>
  <c r="M20" i="1"/>
  <c r="M21" i="1"/>
  <c r="M23" i="1"/>
  <c r="M24" i="1"/>
  <c r="M25" i="1"/>
  <c r="M26" i="1"/>
  <c r="M28" i="1"/>
  <c r="R25" i="3" l="1"/>
  <c r="R29" i="3" s="1"/>
  <c r="L25" i="3"/>
  <c r="L29" i="3" s="1"/>
  <c r="I53" i="1"/>
  <c r="M18" i="1"/>
  <c r="M32" i="1"/>
  <c r="L32" i="1"/>
  <c r="L38" i="1" s="1"/>
  <c r="C50" i="1" l="1"/>
  <c r="I46" i="1"/>
  <c r="H38" i="1"/>
  <c r="G36" i="1"/>
  <c r="I32" i="1"/>
  <c r="I38" i="1" s="1"/>
  <c r="H32" i="1"/>
  <c r="C32" i="1"/>
  <c r="G27" i="1"/>
  <c r="K27" i="1" s="1"/>
  <c r="G25" i="1"/>
  <c r="K25" i="1" s="1"/>
  <c r="G24" i="1"/>
  <c r="K24" i="1" s="1"/>
  <c r="G23" i="1"/>
  <c r="K23" i="1" s="1"/>
  <c r="G19" i="1"/>
  <c r="K19" i="1" s="1"/>
  <c r="G16" i="1"/>
  <c r="K16" i="1" s="1"/>
  <c r="G11" i="1"/>
  <c r="K11" i="1" s="1"/>
  <c r="C43" i="1"/>
  <c r="C41" i="1"/>
  <c r="B35" i="1"/>
  <c r="D35" i="1" s="1"/>
  <c r="B28" i="1"/>
  <c r="D28" i="1" s="1"/>
  <c r="B21" i="1"/>
  <c r="D21" i="1" s="1"/>
  <c r="B20" i="1"/>
  <c r="D20" i="1" s="1"/>
  <c r="B19" i="1"/>
  <c r="D19" i="1" s="1"/>
  <c r="B27" i="1"/>
  <c r="D27" i="1" s="1"/>
  <c r="B15" i="1"/>
  <c r="D15" i="1" s="1"/>
  <c r="B11" i="1"/>
  <c r="D11" i="1" s="1"/>
  <c r="B25" i="1"/>
  <c r="D25" i="1" s="1"/>
  <c r="B26" i="1"/>
  <c r="D26" i="1" s="1"/>
  <c r="B14" i="1"/>
  <c r="D14" i="1" s="1"/>
  <c r="B8" i="1"/>
  <c r="D8" i="1" s="1"/>
  <c r="B18" i="1"/>
  <c r="D18" i="1" s="1"/>
  <c r="B13" i="1"/>
  <c r="D13" i="1" s="1"/>
  <c r="B10" i="1"/>
  <c r="D10" i="1" s="1"/>
  <c r="B9" i="1"/>
  <c r="D9" i="1" s="1"/>
  <c r="B24" i="1"/>
  <c r="D24" i="1" s="1"/>
  <c r="B16" i="1"/>
  <c r="D16" i="1" s="1"/>
  <c r="B23" i="1"/>
  <c r="D23" i="1" s="1"/>
  <c r="K32" i="1" l="1"/>
  <c r="I47" i="1"/>
  <c r="I49" i="1"/>
  <c r="C38" i="1"/>
  <c r="G32" i="1"/>
  <c r="G38" i="1" s="1"/>
  <c r="B32" i="1"/>
  <c r="D32" i="1" s="1"/>
  <c r="B38" i="1" l="1"/>
  <c r="D38" i="1" s="1"/>
  <c r="C51" i="1" l="1"/>
  <c r="C55" i="1" s="1"/>
  <c r="G55" i="1" l="1"/>
  <c r="I55" i="1" s="1"/>
  <c r="F55" i="1"/>
  <c r="N13" i="1" l="1"/>
  <c r="O13" i="1" s="1"/>
  <c r="N17" i="1"/>
  <c r="O17" i="1" s="1"/>
  <c r="N29" i="1"/>
  <c r="N16" i="1"/>
  <c r="O16" i="1" s="1"/>
  <c r="N28" i="1"/>
  <c r="O28" i="1" s="1"/>
  <c r="N22" i="1"/>
  <c r="O22" i="1" s="1"/>
  <c r="N15" i="1"/>
  <c r="O15" i="1" s="1"/>
  <c r="N27" i="1"/>
  <c r="O27" i="1" s="1"/>
  <c r="N12" i="1"/>
  <c r="O12" i="1" s="1"/>
  <c r="N24" i="1"/>
  <c r="O24" i="1" s="1"/>
  <c r="N18" i="1"/>
  <c r="O18" i="1" s="1"/>
  <c r="N19" i="1"/>
  <c r="O19" i="1" s="1"/>
  <c r="N26" i="1"/>
  <c r="O26" i="1" s="1"/>
  <c r="N21" i="1"/>
  <c r="O21" i="1" s="1"/>
  <c r="N23" i="1"/>
  <c r="O23" i="1" s="1"/>
  <c r="N11" i="1"/>
  <c r="O11" i="1" s="1"/>
  <c r="N14" i="1"/>
  <c r="O14" i="1" s="1"/>
  <c r="N9" i="1"/>
  <c r="O9" i="1" s="1"/>
  <c r="O8" i="1"/>
  <c r="N20" i="1"/>
  <c r="O20" i="1" s="1"/>
  <c r="N10" i="1"/>
  <c r="O10" i="1" s="1"/>
  <c r="N25" i="1"/>
  <c r="O25" i="1" s="1"/>
  <c r="O32" i="1" l="1"/>
  <c r="N32" i="1"/>
</calcChain>
</file>

<file path=xl/comments1.xml><?xml version="1.0" encoding="utf-8"?>
<comments xmlns="http://schemas.openxmlformats.org/spreadsheetml/2006/main">
  <authors>
    <author>Jette Poulsen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tillagt 5 mdr. for 3 klubber som lukker 1.8.18
</t>
        </r>
      </text>
    </comment>
  </commentList>
</comments>
</file>

<file path=xl/sharedStrings.xml><?xml version="1.0" encoding="utf-8"?>
<sst xmlns="http://schemas.openxmlformats.org/spreadsheetml/2006/main" count="148" uniqueCount="113">
  <si>
    <t>Forslag til ny tildelingsmodel til juniorklubber (og SFO2) ?</t>
  </si>
  <si>
    <t>Foreløbig fordelt i 2018</t>
  </si>
  <si>
    <t>Budget 376 01 110-06</t>
  </si>
  <si>
    <t xml:space="preserve">Budget i alt </t>
  </si>
  <si>
    <t>Blåbjergskolen - Nr. Nebel afd.</t>
  </si>
  <si>
    <t>Lykkesgårdskolen</t>
  </si>
  <si>
    <t>I alt</t>
  </si>
  <si>
    <t xml:space="preserve">Faktiske                                              juniorklub  pr. 5/9-2017                              </t>
  </si>
  <si>
    <t xml:space="preserve">Samlet antal elever i 4..6. kl. </t>
  </si>
  <si>
    <t>Tilmeldte i % af potientiel-le brugere</t>
  </si>
  <si>
    <t>Juniorklub-bens åb-ningsdage</t>
  </si>
  <si>
    <t>Agerbæk Skole</t>
  </si>
  <si>
    <t>80 kr./md.</t>
  </si>
  <si>
    <t>Alslev Skole</t>
  </si>
  <si>
    <t>200 kr. /md.</t>
  </si>
  <si>
    <t>Ansager Skole</t>
  </si>
  <si>
    <t>100 kr./md.</t>
  </si>
  <si>
    <t>Blåbjergskolen - Lunde-Kvong afd.</t>
  </si>
  <si>
    <t>0 kr./md.</t>
  </si>
  <si>
    <t>Brorsonskolen</t>
  </si>
  <si>
    <t>Horne Skole</t>
  </si>
  <si>
    <t>Janderup Skole</t>
  </si>
  <si>
    <t>Nordenskov Skole</t>
  </si>
  <si>
    <t>Næsbjerg Skole</t>
  </si>
  <si>
    <t>100 kr./½ år</t>
  </si>
  <si>
    <t>Outrup Skole</t>
  </si>
  <si>
    <t>50 kr./md.</t>
  </si>
  <si>
    <t>Sct. Jacobi Skole</t>
  </si>
  <si>
    <t>Starup Skole</t>
  </si>
  <si>
    <t>Thorstrup Skole</t>
  </si>
  <si>
    <t>200 kr. /½ år</t>
  </si>
  <si>
    <t>Tistrup Skole</t>
  </si>
  <si>
    <t>Ølgod Skole</t>
  </si>
  <si>
    <t>Årre Skole</t>
  </si>
  <si>
    <t>Billum</t>
  </si>
  <si>
    <t>Samlede tal</t>
  </si>
  <si>
    <t>SFO2</t>
  </si>
  <si>
    <t>Blavandshuk skole-Samuelsgården</t>
  </si>
  <si>
    <t>Regulering forældrebetaling i forhold til indmeldte børn</t>
  </si>
  <si>
    <t>510 kr./md.</t>
  </si>
  <si>
    <t>Tildeling pr. barn</t>
  </si>
  <si>
    <t>Minimumstildeling</t>
  </si>
  <si>
    <t xml:space="preserve"> (2017-pris)</t>
  </si>
  <si>
    <t xml:space="preserve">Børn tilmeldt  pr. 5/9-2017 </t>
  </si>
  <si>
    <t>Årlig forventet kontingent</t>
  </si>
  <si>
    <t>Kontingent gl. ordning</t>
  </si>
  <si>
    <t>Gens. fremmøde i uge 35 + 36 2017</t>
  </si>
  <si>
    <t>gens. fremmøde maj + sept. 2017</t>
  </si>
  <si>
    <t>Budget 2018:</t>
  </si>
  <si>
    <t>Tilskud fordelt i 2018 pr. fremmødebarn</t>
  </si>
  <si>
    <t>i gens. incl. minimumstildeling</t>
  </si>
  <si>
    <t>Tilskud fordelt ex. lukkede klubber</t>
  </si>
  <si>
    <t>Lukning Billum</t>
  </si>
  <si>
    <t xml:space="preserve">pr. måned i 11 mdr. </t>
  </si>
  <si>
    <t>Årlig kontingent ved</t>
  </si>
  <si>
    <t>Tilskud til Samuelsgården</t>
  </si>
  <si>
    <t>Budget excl. Samuelsgården</t>
  </si>
  <si>
    <t>Gens. tilmeldte/-fremmøde</t>
  </si>
  <si>
    <t>Kontingent pr. måned i 11 mdr.</t>
  </si>
  <si>
    <t>Årlig kontingent pr. barn</t>
  </si>
  <si>
    <t>Gens. tilskud pr. fremmødebarn</t>
  </si>
  <si>
    <t>Gens. tilskud pr. gens. barn</t>
  </si>
  <si>
    <t>Fremmødebørn i klubber, der lukker</t>
  </si>
  <si>
    <t>Fremmødebørn herefter</t>
  </si>
  <si>
    <t>excl. lukkede</t>
  </si>
  <si>
    <t>kontingent</t>
  </si>
  <si>
    <t>Foreløbig tildeling i 2018</t>
  </si>
  <si>
    <t>Ny tildeling</t>
  </si>
  <si>
    <t>incl. kontingent</t>
  </si>
  <si>
    <t>Forskel</t>
  </si>
  <si>
    <t>incl. evt. kontingent</t>
  </si>
  <si>
    <t>Nyt forslag</t>
  </si>
  <si>
    <t>Dok. 38922-18</t>
  </si>
  <si>
    <t>Lukning pga struktur 3 klubber</t>
  </si>
  <si>
    <t>Tildeling pr. barn.</t>
  </si>
  <si>
    <r>
      <t xml:space="preserve">Samlet segment
</t>
    </r>
    <r>
      <rPr>
        <sz val="8"/>
        <rFont val="Arial"/>
        <family val="2"/>
      </rPr>
      <t>Elever i 4..6 kl.</t>
    </r>
  </si>
  <si>
    <r>
      <t xml:space="preserve">Børn tilmeldt
</t>
    </r>
    <r>
      <rPr>
        <sz val="8"/>
        <rFont val="Arial"/>
        <family val="2"/>
      </rPr>
      <t>pr. 5/3-2018</t>
    </r>
  </si>
  <si>
    <t>Total i alt:</t>
  </si>
  <si>
    <r>
      <t xml:space="preserve">Blåvandshuk Skole </t>
    </r>
    <r>
      <rPr>
        <sz val="8"/>
        <rFont val="Arial"/>
        <family val="2"/>
      </rPr>
      <t>(Samuelsgården)</t>
    </r>
  </si>
  <si>
    <r>
      <t xml:space="preserve">Kontingent
</t>
    </r>
    <r>
      <rPr>
        <sz val="8"/>
        <rFont val="Arial"/>
        <family val="2"/>
      </rPr>
      <t>(gl. ordning)</t>
    </r>
  </si>
  <si>
    <t>(kr)</t>
  </si>
  <si>
    <t>Lukning af Billum</t>
  </si>
  <si>
    <t>Lukning pga. struktur 3 klubber</t>
  </si>
  <si>
    <t>Budget i alt</t>
  </si>
  <si>
    <r>
      <t>Budget i alt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(excl. Samuelsgården)</t>
    </r>
  </si>
  <si>
    <t xml:space="preserve">Total
</t>
  </si>
  <si>
    <t>(2018 Pris)</t>
  </si>
  <si>
    <t>Tilskud til Samuelsgården  excl. Forældrebetaling</t>
  </si>
  <si>
    <t>Grundtildeling</t>
  </si>
  <si>
    <t xml:space="preserve">Forslag til ny tildelingsmodel
til juniorkluber og SFO 2 </t>
  </si>
  <si>
    <r>
      <t xml:space="preserve">Tilskud
</t>
    </r>
    <r>
      <rPr>
        <sz val="8"/>
        <rFont val="Arial"/>
        <family val="2"/>
      </rPr>
      <t>(11.944 kr. pr. barn)</t>
    </r>
  </si>
  <si>
    <r>
      <t xml:space="preserve">Kontingent
</t>
    </r>
    <r>
      <rPr>
        <sz val="8"/>
        <rFont val="Arial"/>
        <family val="2"/>
      </rPr>
      <t>(gl. ordning 11 mdr. )</t>
    </r>
  </si>
  <si>
    <r>
      <t xml:space="preserve">Fremmøde børn
</t>
    </r>
    <r>
      <rPr>
        <sz val="9"/>
        <rFont val="Arial"/>
        <family val="2"/>
      </rPr>
      <t>(1</t>
    </r>
    <r>
      <rPr>
        <sz val="8"/>
        <rFont val="Arial"/>
        <family val="2"/>
      </rPr>
      <t>5/3-2018)</t>
    </r>
  </si>
  <si>
    <t>pr. afdeling</t>
  </si>
  <si>
    <r>
      <t xml:space="preserve">Kontingent
</t>
    </r>
    <r>
      <rPr>
        <sz val="8"/>
        <rFont val="Arial"/>
        <family val="2"/>
      </rPr>
      <t>(min. 100 kr. pr. måned)</t>
    </r>
  </si>
  <si>
    <t>fordeles i f. h.t. tilmeldte</t>
  </si>
  <si>
    <r>
      <t xml:space="preserve">Nuværende tildeling </t>
    </r>
    <r>
      <rPr>
        <sz val="8"/>
        <color theme="1"/>
        <rFont val="Arial"/>
        <family val="2"/>
      </rPr>
      <t>-                                                                                    Minimumstildeling og frivillig kontingent</t>
    </r>
  </si>
  <si>
    <t>Minimumstildeling til 17 børn</t>
  </si>
  <si>
    <t>Frivillig kontingent</t>
  </si>
  <si>
    <t xml:space="preserve">Min. kontingent pr. måned </t>
  </si>
  <si>
    <t xml:space="preserve">Samlede antal børn.  </t>
  </si>
  <si>
    <t xml:space="preserve">Budget 2018   </t>
  </si>
  <si>
    <t xml:space="preserve">Budget 2018  </t>
  </si>
  <si>
    <t>kr. pr. barn</t>
  </si>
  <si>
    <t xml:space="preserve">Tilskud
</t>
  </si>
  <si>
    <t>heraf fordeles i f h.t. potentielle</t>
  </si>
  <si>
    <t>fordeles i f.h.t  fremmøde</t>
  </si>
  <si>
    <t>Grund-tildeling</t>
  </si>
  <si>
    <r>
      <t xml:space="preserve">Model 2 f.h.t. grundtildeling, elevtal og fremmøde           </t>
    </r>
    <r>
      <rPr>
        <sz val="8"/>
        <color theme="1"/>
        <rFont val="Arial"/>
        <family val="2"/>
      </rPr>
      <t xml:space="preserve">                                                       - obl. kontingent                            </t>
    </r>
  </si>
  <si>
    <t>Model 2 - Arbejdsgruppens forslag til ny tildelingsmodel til juniorklubber og SFO2 fra august 2018</t>
  </si>
  <si>
    <r>
      <t xml:space="preserve">Frem-møde børn
</t>
    </r>
    <r>
      <rPr>
        <sz val="8"/>
        <rFont val="Arial"/>
        <family val="2"/>
      </rPr>
      <t>15/3-2018</t>
    </r>
  </si>
  <si>
    <r>
      <t xml:space="preserve">Tilmeldte børn
</t>
    </r>
    <r>
      <rPr>
        <sz val="8"/>
        <rFont val="Arial"/>
        <family val="2"/>
      </rPr>
      <t>pr. 5/9-2018</t>
    </r>
  </si>
  <si>
    <r>
      <t xml:space="preserve">Samlet segment
</t>
    </r>
    <r>
      <rPr>
        <sz val="8"/>
        <rFont val="Arial"/>
        <family val="2"/>
      </rPr>
      <t>Elever i 4.-.6 kl.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</si>
</sst>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(* #,##0_);_(* \(#,##0\);_(* &quot;-&quot;_);_(@_)"/>
    <numFmt numFmtId="166" formatCode="_ * #,##0.0_ ;_ * \-#,##0.0_ ;_ * &quot;-&quot;_ ;_ @_ "/>
    <numFmt numFmtId="167" formatCode="0.0%"/>
    <numFmt numFmtId="168" formatCode="_ * #,##0_ ;_ * \-#,##0_ ;_ * &quot;-&quot;??_ ;_ @_ "/>
    <numFmt numFmtId="169" formatCode="_(* #,##0.0_);_(* \(#,##0.0\);_(* &quot;-&quot;_);_(@_)"/>
    <numFmt numFmtId="170" formatCode="0\ &quot;kr. /mdr.&quot;"/>
    <numFmt numFmtId="171" formatCode="0\ &quot;kr. /½ år&quot;"/>
    <numFmt numFmtId="172" formatCode="0.00\ &quot;%&quot;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sz val="8"/>
      <color rgb="FF333333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rgb="FFE37222"/>
      </bottom>
      <diagonal/>
    </border>
    <border>
      <left style="thick">
        <color rgb="FFE37222"/>
      </left>
      <right/>
      <top style="thick">
        <color rgb="FFE37222"/>
      </top>
      <bottom style="medium">
        <color rgb="FFE37222"/>
      </bottom>
      <diagonal/>
    </border>
    <border>
      <left/>
      <right/>
      <top style="thick">
        <color rgb="FFE37222"/>
      </top>
      <bottom style="medium">
        <color rgb="FFE37222"/>
      </bottom>
      <diagonal/>
    </border>
    <border>
      <left/>
      <right style="thick">
        <color rgb="FFE37222"/>
      </right>
      <top style="thick">
        <color rgb="FFE37222"/>
      </top>
      <bottom style="medium">
        <color rgb="FFE37222"/>
      </bottom>
      <diagonal/>
    </border>
    <border>
      <left style="thick">
        <color rgb="FFE37222"/>
      </left>
      <right/>
      <top/>
      <bottom/>
      <diagonal/>
    </border>
    <border>
      <left/>
      <right style="thick">
        <color rgb="FFE37222"/>
      </right>
      <top/>
      <bottom/>
      <diagonal/>
    </border>
    <border>
      <left style="thick">
        <color rgb="FFE37222"/>
      </left>
      <right/>
      <top style="dotted">
        <color rgb="FFE37222"/>
      </top>
      <bottom style="thick">
        <color rgb="FFE37222"/>
      </bottom>
      <diagonal/>
    </border>
    <border>
      <left/>
      <right/>
      <top style="dotted">
        <color rgb="FFE37222"/>
      </top>
      <bottom style="thick">
        <color rgb="FFE37222"/>
      </bottom>
      <diagonal/>
    </border>
    <border>
      <left/>
      <right style="thick">
        <color rgb="FFE37222"/>
      </right>
      <top style="dotted">
        <color rgb="FFE37222"/>
      </top>
      <bottom style="thick">
        <color rgb="FFE37222"/>
      </bottom>
      <diagonal/>
    </border>
    <border>
      <left style="thick">
        <color rgb="FFE37222"/>
      </left>
      <right/>
      <top style="dotted">
        <color rgb="FFE37222"/>
      </top>
      <bottom style="dotted">
        <color rgb="FFE37222"/>
      </bottom>
      <diagonal/>
    </border>
    <border>
      <left/>
      <right/>
      <top style="dotted">
        <color rgb="FFE37222"/>
      </top>
      <bottom style="dotted">
        <color rgb="FFE37222"/>
      </bottom>
      <diagonal/>
    </border>
    <border>
      <left/>
      <right style="thick">
        <color rgb="FFE37222"/>
      </right>
      <top style="dotted">
        <color rgb="FFE37222"/>
      </top>
      <bottom style="dotted">
        <color rgb="FFE372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165" fontId="4" fillId="0" borderId="12" xfId="0" applyNumberFormat="1" applyFont="1" applyBorder="1"/>
    <xf numFmtId="3" fontId="4" fillId="3" borderId="12" xfId="0" applyNumberFormat="1" applyFont="1" applyFill="1" applyBorder="1"/>
    <xf numFmtId="166" fontId="4" fillId="0" borderId="12" xfId="0" applyNumberFormat="1" applyFont="1" applyBorder="1"/>
    <xf numFmtId="165" fontId="4" fillId="0" borderId="12" xfId="0" applyNumberFormat="1" applyFont="1" applyBorder="1" applyAlignment="1"/>
    <xf numFmtId="165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justify"/>
    </xf>
    <xf numFmtId="0" fontId="4" fillId="2" borderId="11" xfId="0" applyFont="1" applyFill="1" applyBorder="1"/>
    <xf numFmtId="165" fontId="4" fillId="4" borderId="12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Border="1"/>
    <xf numFmtId="165" fontId="4" fillId="0" borderId="3" xfId="0" applyNumberFormat="1" applyFont="1" applyBorder="1"/>
    <xf numFmtId="3" fontId="4" fillId="3" borderId="3" xfId="0" applyNumberFormat="1" applyFont="1" applyFill="1" applyBorder="1"/>
    <xf numFmtId="165" fontId="4" fillId="0" borderId="3" xfId="0" applyNumberFormat="1" applyFont="1" applyBorder="1" applyAlignment="1"/>
    <xf numFmtId="165" fontId="4" fillId="0" borderId="3" xfId="0" applyNumberFormat="1" applyFont="1" applyBorder="1" applyAlignment="1">
      <alignment horizontal="right"/>
    </xf>
    <xf numFmtId="0" fontId="4" fillId="0" borderId="8" xfId="0" applyFont="1" applyBorder="1"/>
    <xf numFmtId="165" fontId="4" fillId="0" borderId="9" xfId="0" applyNumberFormat="1" applyFont="1" applyBorder="1"/>
    <xf numFmtId="166" fontId="4" fillId="0" borderId="9" xfId="0" applyNumberFormat="1" applyFont="1" applyBorder="1"/>
    <xf numFmtId="167" fontId="4" fillId="0" borderId="7" xfId="0" applyNumberFormat="1" applyFont="1" applyBorder="1"/>
    <xf numFmtId="0" fontId="5" fillId="0" borderId="14" xfId="0" applyFont="1" applyBorder="1"/>
    <xf numFmtId="165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165" fontId="4" fillId="0" borderId="5" xfId="0" applyNumberFormat="1" applyFont="1" applyBorder="1"/>
    <xf numFmtId="3" fontId="4" fillId="3" borderId="5" xfId="0" applyNumberFormat="1" applyFont="1" applyFill="1" applyBorder="1"/>
    <xf numFmtId="166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0" fontId="4" fillId="0" borderId="15" xfId="0" applyFont="1" applyBorder="1"/>
    <xf numFmtId="165" fontId="4" fillId="0" borderId="9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165" fontId="4" fillId="0" borderId="7" xfId="0" applyNumberFormat="1" applyFont="1" applyBorder="1"/>
    <xf numFmtId="3" fontId="4" fillId="3" borderId="7" xfId="0" applyNumberFormat="1" applyFont="1" applyFill="1" applyBorder="1"/>
    <xf numFmtId="166" fontId="4" fillId="0" borderId="7" xfId="0" applyNumberFormat="1" applyFont="1" applyBorder="1"/>
    <xf numFmtId="165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right"/>
    </xf>
    <xf numFmtId="3" fontId="4" fillId="0" borderId="0" xfId="0" applyNumberFormat="1" applyFont="1"/>
    <xf numFmtId="3" fontId="5" fillId="0" borderId="9" xfId="0" applyNumberFormat="1" applyFont="1" applyBorder="1" applyAlignment="1">
      <alignment wrapText="1"/>
    </xf>
    <xf numFmtId="3" fontId="4" fillId="0" borderId="7" xfId="0" applyNumberFormat="1" applyFont="1" applyBorder="1"/>
    <xf numFmtId="3" fontId="4" fillId="0" borderId="1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3" fontId="4" fillId="0" borderId="9" xfId="0" applyNumberFormat="1" applyFont="1" applyBorder="1"/>
    <xf numFmtId="3" fontId="4" fillId="0" borderId="5" xfId="0" applyNumberFormat="1" applyFont="1" applyBorder="1" applyAlignment="1">
      <alignment horizontal="right"/>
    </xf>
    <xf numFmtId="0" fontId="5" fillId="5" borderId="9" xfId="0" applyFont="1" applyFill="1" applyBorder="1" applyAlignment="1">
      <alignment wrapText="1"/>
    </xf>
    <xf numFmtId="0" fontId="4" fillId="5" borderId="7" xfId="0" applyFont="1" applyFill="1" applyBorder="1"/>
    <xf numFmtId="168" fontId="4" fillId="5" borderId="12" xfId="1" applyNumberFormat="1" applyFont="1" applyFill="1" applyBorder="1"/>
    <xf numFmtId="168" fontId="6" fillId="5" borderId="12" xfId="1" applyNumberFormat="1" applyFont="1" applyFill="1" applyBorder="1"/>
    <xf numFmtId="165" fontId="4" fillId="5" borderId="9" xfId="0" applyNumberFormat="1" applyFont="1" applyFill="1" applyBorder="1"/>
    <xf numFmtId="168" fontId="4" fillId="5" borderId="5" xfId="1" applyNumberFormat="1" applyFont="1" applyFill="1" applyBorder="1"/>
    <xf numFmtId="0" fontId="5" fillId="6" borderId="9" xfId="0" applyFont="1" applyFill="1" applyBorder="1" applyAlignment="1">
      <alignment wrapText="1"/>
    </xf>
    <xf numFmtId="0" fontId="4" fillId="6" borderId="7" xfId="0" applyFont="1" applyFill="1" applyBorder="1"/>
    <xf numFmtId="165" fontId="4" fillId="6" borderId="12" xfId="0" applyNumberFormat="1" applyFont="1" applyFill="1" applyBorder="1" applyAlignment="1">
      <alignment wrapText="1"/>
    </xf>
    <xf numFmtId="165" fontId="4" fillId="6" borderId="12" xfId="0" applyNumberFormat="1" applyFont="1" applyFill="1" applyBorder="1"/>
    <xf numFmtId="165" fontId="4" fillId="6" borderId="9" xfId="0" applyNumberFormat="1" applyFont="1" applyFill="1" applyBorder="1"/>
    <xf numFmtId="165" fontId="4" fillId="6" borderId="5" xfId="0" applyNumberFormat="1" applyFont="1" applyFill="1" applyBorder="1"/>
    <xf numFmtId="0" fontId="7" fillId="0" borderId="0" xfId="0" applyFont="1"/>
    <xf numFmtId="0" fontId="2" fillId="0" borderId="0" xfId="0" applyFont="1"/>
    <xf numFmtId="165" fontId="0" fillId="0" borderId="0" xfId="0" applyNumberFormat="1"/>
    <xf numFmtId="165" fontId="4" fillId="2" borderId="12" xfId="0" applyNumberFormat="1" applyFont="1" applyFill="1" applyBorder="1" applyAlignment="1">
      <alignment wrapText="1"/>
    </xf>
    <xf numFmtId="169" fontId="4" fillId="0" borderId="9" xfId="0" applyNumberFormat="1" applyFont="1" applyBorder="1"/>
    <xf numFmtId="165" fontId="4" fillId="0" borderId="0" xfId="0" applyNumberFormat="1" applyFont="1"/>
    <xf numFmtId="0" fontId="4" fillId="0" borderId="16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7" borderId="0" xfId="0" applyFill="1"/>
    <xf numFmtId="1" fontId="0" fillId="7" borderId="0" xfId="0" applyNumberFormat="1" applyFill="1"/>
    <xf numFmtId="165" fontId="4" fillId="7" borderId="9" xfId="0" applyNumberFormat="1" applyFont="1" applyFill="1" applyBorder="1"/>
    <xf numFmtId="165" fontId="4" fillId="7" borderId="17" xfId="0" applyNumberFormat="1" applyFont="1" applyFill="1" applyBorder="1"/>
    <xf numFmtId="165" fontId="4" fillId="7" borderId="18" xfId="0" applyNumberFormat="1" applyFont="1" applyFill="1" applyBorder="1"/>
    <xf numFmtId="0" fontId="2" fillId="7" borderId="3" xfId="0" applyFont="1" applyFill="1" applyBorder="1" applyAlignment="1">
      <alignment wrapText="1"/>
    </xf>
    <xf numFmtId="0" fontId="0" fillId="7" borderId="5" xfId="0" applyFill="1" applyBorder="1"/>
    <xf numFmtId="0" fontId="2" fillId="7" borderId="5" xfId="0" applyFont="1" applyFill="1" applyBorder="1"/>
    <xf numFmtId="3" fontId="0" fillId="7" borderId="5" xfId="0" applyNumberFormat="1" applyFill="1" applyBorder="1"/>
    <xf numFmtId="0" fontId="0" fillId="7" borderId="7" xfId="0" applyFill="1" applyBorder="1"/>
    <xf numFmtId="0" fontId="2" fillId="7" borderId="2" xfId="0" applyFont="1" applyFill="1" applyBorder="1" applyAlignment="1">
      <alignment wrapText="1"/>
    </xf>
    <xf numFmtId="9" fontId="0" fillId="7" borderId="4" xfId="0" applyNumberFormat="1" applyFill="1" applyBorder="1"/>
    <xf numFmtId="0" fontId="0" fillId="7" borderId="6" xfId="0" applyFill="1" applyBorder="1"/>
    <xf numFmtId="0" fontId="2" fillId="7" borderId="7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wrapText="1"/>
    </xf>
    <xf numFmtId="3" fontId="4" fillId="0" borderId="5" xfId="0" applyNumberFormat="1" applyFont="1" applyBorder="1"/>
    <xf numFmtId="0" fontId="8" fillId="0" borderId="0" xfId="0" applyFont="1"/>
    <xf numFmtId="0" fontId="5" fillId="0" borderId="20" xfId="1" applyNumberFormat="1" applyFont="1" applyBorder="1" applyAlignment="1">
      <alignment vertical="center" wrapText="1"/>
    </xf>
    <xf numFmtId="0" fontId="5" fillId="0" borderId="21" xfId="1" applyNumberFormat="1" applyFont="1" applyBorder="1" applyAlignment="1">
      <alignment vertical="center" wrapText="1"/>
    </xf>
    <xf numFmtId="0" fontId="5" fillId="0" borderId="22" xfId="1" applyNumberFormat="1" applyFont="1" applyBorder="1" applyAlignment="1">
      <alignment vertical="center" wrapText="1"/>
    </xf>
    <xf numFmtId="3" fontId="8" fillId="0" borderId="23" xfId="1" applyNumberFormat="1" applyFont="1" applyBorder="1"/>
    <xf numFmtId="3" fontId="8" fillId="0" borderId="0" xfId="1" applyNumberFormat="1" applyFont="1" applyBorder="1"/>
    <xf numFmtId="3" fontId="8" fillId="0" borderId="24" xfId="1" applyNumberFormat="1" applyFont="1" applyBorder="1"/>
    <xf numFmtId="0" fontId="8" fillId="0" borderId="0" xfId="0" applyNumberFormat="1" applyFont="1"/>
    <xf numFmtId="3" fontId="8" fillId="0" borderId="0" xfId="0" applyNumberFormat="1" applyFont="1" applyAlignment="1"/>
    <xf numFmtId="3" fontId="8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/>
    <xf numFmtId="172" fontId="0" fillId="0" borderId="0" xfId="0" applyNumberFormat="1"/>
    <xf numFmtId="0" fontId="0" fillId="0" borderId="0" xfId="0" applyBorder="1"/>
    <xf numFmtId="0" fontId="0" fillId="0" borderId="23" xfId="0" applyBorder="1"/>
    <xf numFmtId="0" fontId="11" fillId="0" borderId="0" xfId="0" applyFont="1" applyBorder="1"/>
    <xf numFmtId="0" fontId="11" fillId="0" borderId="2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left"/>
    </xf>
    <xf numFmtId="0" fontId="11" fillId="0" borderId="23" xfId="0" applyFont="1" applyBorder="1" applyAlignment="1">
      <alignment vertical="center" wrapText="1"/>
    </xf>
    <xf numFmtId="170" fontId="12" fillId="0" borderId="0" xfId="0" applyNumberFormat="1" applyFont="1" applyBorder="1" applyAlignment="1">
      <alignment horizontal="left"/>
    </xf>
    <xf numFmtId="0" fontId="14" fillId="0" borderId="0" xfId="0" applyFont="1"/>
    <xf numFmtId="3" fontId="8" fillId="0" borderId="25" xfId="1" applyNumberFormat="1" applyFont="1" applyBorder="1"/>
    <xf numFmtId="3" fontId="8" fillId="0" borderId="26" xfId="1" applyNumberFormat="1" applyFont="1" applyBorder="1"/>
    <xf numFmtId="3" fontId="8" fillId="0" borderId="28" xfId="1" applyNumberFormat="1" applyFont="1" applyBorder="1"/>
    <xf numFmtId="170" fontId="12" fillId="0" borderId="30" xfId="0" applyNumberFormat="1" applyFont="1" applyBorder="1" applyAlignment="1">
      <alignment horizontal="left"/>
    </xf>
    <xf numFmtId="3" fontId="8" fillId="0" borderId="30" xfId="1" applyNumberFormat="1" applyFont="1" applyFill="1" applyBorder="1"/>
    <xf numFmtId="3" fontId="8" fillId="0" borderId="27" xfId="1" applyNumberFormat="1" applyFont="1" applyFill="1" applyBorder="1"/>
    <xf numFmtId="0" fontId="0" fillId="8" borderId="23" xfId="0" applyFill="1" applyBorder="1"/>
    <xf numFmtId="0" fontId="11" fillId="8" borderId="0" xfId="0" applyFont="1" applyFill="1" applyBorder="1"/>
    <xf numFmtId="0" fontId="0" fillId="8" borderId="0" xfId="0" applyFill="1" applyBorder="1" applyAlignment="1">
      <alignment horizontal="left"/>
    </xf>
    <xf numFmtId="170" fontId="12" fillId="8" borderId="0" xfId="0" applyNumberFormat="1" applyFont="1" applyFill="1" applyBorder="1" applyAlignment="1">
      <alignment horizontal="left"/>
    </xf>
    <xf numFmtId="3" fontId="8" fillId="8" borderId="23" xfId="1" applyNumberFormat="1" applyFont="1" applyFill="1" applyBorder="1"/>
    <xf numFmtId="3" fontId="8" fillId="8" borderId="0" xfId="1" applyNumberFormat="1" applyFont="1" applyFill="1" applyBorder="1"/>
    <xf numFmtId="3" fontId="8" fillId="8" borderId="24" xfId="1" applyNumberFormat="1" applyFont="1" applyFill="1" applyBorder="1"/>
    <xf numFmtId="0" fontId="0" fillId="8" borderId="0" xfId="0" applyFill="1"/>
    <xf numFmtId="3" fontId="8" fillId="0" borderId="0" xfId="1" applyNumberFormat="1" applyFont="1" applyFill="1" applyBorder="1"/>
    <xf numFmtId="0" fontId="16" fillId="0" borderId="0" xfId="0" applyFont="1"/>
    <xf numFmtId="172" fontId="12" fillId="0" borderId="27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3" fontId="11" fillId="0" borderId="0" xfId="0" applyNumberFormat="1" applyFont="1"/>
    <xf numFmtId="0" fontId="8" fillId="0" borderId="0" xfId="0" applyNumberFormat="1" applyFont="1" applyAlignment="1"/>
    <xf numFmtId="3" fontId="8" fillId="0" borderId="29" xfId="1" applyNumberFormat="1" applyFont="1" applyFill="1" applyBorder="1"/>
    <xf numFmtId="1" fontId="8" fillId="0" borderId="0" xfId="0" applyNumberFormat="1" applyFont="1" applyAlignment="1"/>
    <xf numFmtId="3" fontId="8" fillId="0" borderId="29" xfId="1" applyNumberFormat="1" applyFont="1" applyBorder="1"/>
    <xf numFmtId="0" fontId="11" fillId="0" borderId="0" xfId="0" applyFont="1" applyBorder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vertical="center" wrapText="1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11" fillId="0" borderId="21" xfId="0" applyFont="1" applyBorder="1" applyAlignment="1">
      <alignment horizontal="left" vertical="center" wrapText="1"/>
    </xf>
    <xf numFmtId="0" fontId="19" fillId="0" borderId="0" xfId="0" applyFont="1"/>
    <xf numFmtId="0" fontId="0" fillId="0" borderId="23" xfId="0" applyFill="1" applyBorder="1"/>
    <xf numFmtId="0" fontId="11" fillId="0" borderId="0" xfId="0" applyFont="1" applyFill="1" applyBorder="1"/>
    <xf numFmtId="0" fontId="0" fillId="0" borderId="0" xfId="0" applyFill="1" applyBorder="1" applyAlignment="1">
      <alignment horizontal="left"/>
    </xf>
    <xf numFmtId="170" fontId="12" fillId="0" borderId="0" xfId="0" applyNumberFormat="1" applyFont="1" applyFill="1" applyBorder="1" applyAlignment="1">
      <alignment horizontal="left"/>
    </xf>
    <xf numFmtId="3" fontId="8" fillId="0" borderId="23" xfId="1" applyNumberFormat="1" applyFont="1" applyFill="1" applyBorder="1"/>
    <xf numFmtId="3" fontId="8" fillId="0" borderId="24" xfId="1" applyNumberFormat="1" applyFont="1" applyFill="1" applyBorder="1"/>
    <xf numFmtId="0" fontId="0" fillId="0" borderId="0" xfId="0" applyFill="1"/>
    <xf numFmtId="0" fontId="0" fillId="0" borderId="0" xfId="0" applyFill="1" applyBorder="1"/>
    <xf numFmtId="171" fontId="12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E37222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19" workbookViewId="0">
      <selection activeCell="A43" sqref="A43"/>
    </sheetView>
  </sheetViews>
  <sheetFormatPr defaultRowHeight="12.75" x14ac:dyDescent="0.2"/>
  <cols>
    <col min="1" max="1" width="29.85546875" customWidth="1"/>
    <col min="2" max="2" width="13.85546875" style="1" customWidth="1"/>
    <col min="3" max="3" width="12.42578125" style="4" customWidth="1"/>
    <col min="4" max="4" width="11.85546875" style="4" customWidth="1"/>
    <col min="5" max="5" width="10.42578125" style="4" customWidth="1"/>
    <col min="6" max="6" width="16.85546875" style="4" customWidth="1"/>
    <col min="7" max="7" width="13.7109375" style="48" customWidth="1"/>
    <col min="8" max="8" width="12.7109375" customWidth="1"/>
    <col min="9" max="9" width="12.28515625" customWidth="1"/>
    <col min="10" max="11" width="15.28515625" customWidth="1"/>
    <col min="12" max="12" width="14.28515625" customWidth="1"/>
    <col min="13" max="15" width="17.28515625" customWidth="1"/>
  </cols>
  <sheetData>
    <row r="1" spans="1:16" ht="15.75" x14ac:dyDescent="0.25">
      <c r="A1" s="3" t="s">
        <v>0</v>
      </c>
    </row>
    <row r="3" spans="1:16" ht="13.5" thickBot="1" x14ac:dyDescent="0.25">
      <c r="A3" s="4"/>
      <c r="B3" s="4"/>
      <c r="E3" s="5"/>
      <c r="L3" s="79" t="s">
        <v>71</v>
      </c>
      <c r="M3" s="79"/>
      <c r="N3" s="79"/>
      <c r="O3" s="79"/>
      <c r="P3" s="79"/>
    </row>
    <row r="4" spans="1:16" ht="48.75" thickBot="1" x14ac:dyDescent="0.25">
      <c r="A4" s="6" t="s">
        <v>7</v>
      </c>
      <c r="B4" s="7" t="s">
        <v>8</v>
      </c>
      <c r="C4" s="7" t="s">
        <v>43</v>
      </c>
      <c r="D4" s="7" t="s">
        <v>9</v>
      </c>
      <c r="E4" s="8" t="s">
        <v>10</v>
      </c>
      <c r="F4" s="7" t="s">
        <v>45</v>
      </c>
      <c r="G4" s="49" t="s">
        <v>44</v>
      </c>
      <c r="H4" s="58" t="s">
        <v>46</v>
      </c>
      <c r="I4" s="64" t="s">
        <v>47</v>
      </c>
      <c r="J4" s="49" t="s">
        <v>66</v>
      </c>
      <c r="K4" s="95" t="s">
        <v>70</v>
      </c>
      <c r="L4" s="89" t="s">
        <v>57</v>
      </c>
      <c r="M4" s="84" t="s">
        <v>54</v>
      </c>
      <c r="N4" s="84" t="s">
        <v>67</v>
      </c>
      <c r="O4" s="84"/>
      <c r="P4" s="79"/>
    </row>
    <row r="5" spans="1:16" x14ac:dyDescent="0.2">
      <c r="A5" s="9"/>
      <c r="B5" s="10"/>
      <c r="C5" s="10"/>
      <c r="D5" s="10"/>
      <c r="E5" s="11"/>
      <c r="F5" s="10"/>
      <c r="G5" s="50"/>
      <c r="H5" s="59"/>
      <c r="I5" s="65"/>
      <c r="J5" s="50"/>
      <c r="K5" s="96"/>
      <c r="L5" s="90" t="s">
        <v>64</v>
      </c>
      <c r="M5" s="85">
        <v>200</v>
      </c>
      <c r="N5" s="85" t="s">
        <v>68</v>
      </c>
      <c r="O5" s="85" t="s">
        <v>69</v>
      </c>
      <c r="P5" s="79"/>
    </row>
    <row r="6" spans="1:16" x14ac:dyDescent="0.2">
      <c r="A6" s="9"/>
      <c r="B6" s="10"/>
      <c r="C6" s="10"/>
      <c r="D6" s="10"/>
      <c r="E6" s="11"/>
      <c r="F6" s="10"/>
      <c r="G6" s="50"/>
      <c r="H6" s="60"/>
      <c r="I6" s="66"/>
      <c r="J6" s="50"/>
      <c r="K6" s="50"/>
      <c r="L6" s="91"/>
      <c r="M6" s="92" t="s">
        <v>53</v>
      </c>
      <c r="N6" s="92"/>
      <c r="O6" s="92"/>
      <c r="P6" s="79"/>
    </row>
    <row r="7" spans="1:16" x14ac:dyDescent="0.2">
      <c r="A7" s="9"/>
      <c r="B7" s="10"/>
      <c r="C7" s="10"/>
      <c r="D7" s="10"/>
      <c r="E7" s="11"/>
      <c r="F7" s="10"/>
      <c r="G7" s="50"/>
      <c r="H7" s="60"/>
      <c r="I7" s="66"/>
      <c r="J7" s="50"/>
      <c r="K7" s="93"/>
      <c r="L7" s="79"/>
      <c r="M7" s="86"/>
      <c r="N7" s="86"/>
      <c r="O7" s="86"/>
      <c r="P7" s="79"/>
    </row>
    <row r="8" spans="1:16" x14ac:dyDescent="0.2">
      <c r="A8" s="18" t="s">
        <v>21</v>
      </c>
      <c r="B8" s="13">
        <f>12+19+8</f>
        <v>39</v>
      </c>
      <c r="C8" s="14">
        <v>42</v>
      </c>
      <c r="D8" s="15">
        <f>C8/B8%</f>
        <v>107.69230769230769</v>
      </c>
      <c r="E8" s="16">
        <v>3</v>
      </c>
      <c r="F8" s="17" t="s">
        <v>18</v>
      </c>
      <c r="G8" s="51">
        <v>0</v>
      </c>
      <c r="H8" s="60">
        <v>21</v>
      </c>
      <c r="I8" s="66">
        <v>20</v>
      </c>
      <c r="J8" s="51">
        <v>241014</v>
      </c>
      <c r="K8" s="94">
        <f>J8+G8</f>
        <v>241014</v>
      </c>
      <c r="L8" s="80">
        <f>B8*40%</f>
        <v>15.600000000000001</v>
      </c>
      <c r="M8" s="87">
        <f>L8*$M$5*11</f>
        <v>34320.000000000007</v>
      </c>
      <c r="N8" s="87">
        <f>L8*$I$55</f>
        <v>147813.7671723419</v>
      </c>
      <c r="O8" s="87">
        <f>N8-K8</f>
        <v>-93200.232827658096</v>
      </c>
      <c r="P8" s="79"/>
    </row>
    <row r="9" spans="1:16" x14ac:dyDescent="0.2">
      <c r="A9" s="18" t="s">
        <v>17</v>
      </c>
      <c r="B9" s="13">
        <f>12+21+25</f>
        <v>58</v>
      </c>
      <c r="C9" s="14">
        <v>56</v>
      </c>
      <c r="D9" s="15">
        <f>C9/B9%</f>
        <v>96.551724137931046</v>
      </c>
      <c r="E9" s="16">
        <v>4</v>
      </c>
      <c r="F9" s="17" t="s">
        <v>18</v>
      </c>
      <c r="G9" s="51">
        <v>0</v>
      </c>
      <c r="H9" s="60">
        <v>29</v>
      </c>
      <c r="I9" s="66">
        <v>25</v>
      </c>
      <c r="J9" s="51">
        <v>300087</v>
      </c>
      <c r="K9" s="94">
        <f t="shared" ref="K9:K30" si="0">J9+G9</f>
        <v>300087</v>
      </c>
      <c r="L9" s="80">
        <f t="shared" ref="L9:L31" si="1">B9*40%</f>
        <v>23.200000000000003</v>
      </c>
      <c r="M9" s="87">
        <f t="shared" ref="M9:M28" si="2">L9*$M$5*11</f>
        <v>51040.000000000007</v>
      </c>
      <c r="N9" s="87">
        <f t="shared" ref="N9:N29" si="3">L9*$I$55</f>
        <v>219825.60246143155</v>
      </c>
      <c r="O9" s="87">
        <f t="shared" ref="O9:O28" si="4">N9-K9</f>
        <v>-80261.397538568446</v>
      </c>
      <c r="P9" s="79"/>
    </row>
    <row r="10" spans="1:16" x14ac:dyDescent="0.2">
      <c r="A10" s="18" t="s">
        <v>4</v>
      </c>
      <c r="B10" s="13">
        <f>22+27+22</f>
        <v>71</v>
      </c>
      <c r="C10" s="14">
        <v>58</v>
      </c>
      <c r="D10" s="15">
        <f>C10/B10%</f>
        <v>81.690140845070431</v>
      </c>
      <c r="E10" s="16">
        <v>4</v>
      </c>
      <c r="F10" s="17" t="s">
        <v>18</v>
      </c>
      <c r="G10" s="51">
        <v>0</v>
      </c>
      <c r="H10" s="60">
        <v>36</v>
      </c>
      <c r="I10" s="66">
        <v>34</v>
      </c>
      <c r="J10" s="51">
        <v>405629</v>
      </c>
      <c r="K10" s="94">
        <f t="shared" si="0"/>
        <v>405629</v>
      </c>
      <c r="L10" s="80">
        <f t="shared" si="1"/>
        <v>28.400000000000002</v>
      </c>
      <c r="M10" s="87">
        <f t="shared" si="2"/>
        <v>62480</v>
      </c>
      <c r="N10" s="87">
        <f t="shared" si="3"/>
        <v>269096.85818554554</v>
      </c>
      <c r="O10" s="87">
        <f t="shared" si="4"/>
        <v>-136532.14181445446</v>
      </c>
      <c r="P10" s="79"/>
    </row>
    <row r="11" spans="1:16" x14ac:dyDescent="0.2">
      <c r="A11" s="12" t="s">
        <v>25</v>
      </c>
      <c r="B11" s="13">
        <f>17+24+22</f>
        <v>63</v>
      </c>
      <c r="C11" s="14">
        <v>39</v>
      </c>
      <c r="D11" s="15">
        <f>C11/B11%</f>
        <v>61.904761904761905</v>
      </c>
      <c r="E11" s="16">
        <v>4</v>
      </c>
      <c r="F11" s="17" t="s">
        <v>26</v>
      </c>
      <c r="G11" s="51">
        <f>50*11*C11</f>
        <v>21450</v>
      </c>
      <c r="H11" s="60">
        <v>14</v>
      </c>
      <c r="I11" s="66">
        <v>14</v>
      </c>
      <c r="J11" s="51">
        <v>200546</v>
      </c>
      <c r="K11" s="94">
        <f t="shared" si="0"/>
        <v>221996</v>
      </c>
      <c r="L11" s="80">
        <f t="shared" si="1"/>
        <v>25.200000000000003</v>
      </c>
      <c r="M11" s="87">
        <f t="shared" si="2"/>
        <v>55440.000000000007</v>
      </c>
      <c r="N11" s="87">
        <f t="shared" si="3"/>
        <v>238776.08543224464</v>
      </c>
      <c r="O11" s="87">
        <f t="shared" si="4"/>
        <v>16780.085432244639</v>
      </c>
      <c r="P11" s="79"/>
    </row>
    <row r="12" spans="1:16" x14ac:dyDescent="0.2">
      <c r="A12" s="9"/>
      <c r="B12" s="10"/>
      <c r="C12" s="10"/>
      <c r="D12" s="10"/>
      <c r="E12" s="11"/>
      <c r="F12" s="10"/>
      <c r="G12" s="50"/>
      <c r="H12" s="60"/>
      <c r="I12" s="66"/>
      <c r="J12" s="50"/>
      <c r="K12" s="94">
        <f t="shared" si="0"/>
        <v>0</v>
      </c>
      <c r="L12" s="80">
        <f t="shared" si="1"/>
        <v>0</v>
      </c>
      <c r="M12" s="87"/>
      <c r="N12" s="87">
        <f t="shared" si="3"/>
        <v>0</v>
      </c>
      <c r="O12" s="87">
        <f t="shared" si="4"/>
        <v>0</v>
      </c>
      <c r="P12" s="79"/>
    </row>
    <row r="13" spans="1:16" x14ac:dyDescent="0.2">
      <c r="A13" s="19" t="s">
        <v>19</v>
      </c>
      <c r="B13" s="13">
        <f>76+74+75</f>
        <v>225</v>
      </c>
      <c r="C13" s="14">
        <v>165</v>
      </c>
      <c r="D13" s="15">
        <f>C13/B13%</f>
        <v>73.333333333333329</v>
      </c>
      <c r="E13" s="16">
        <v>4</v>
      </c>
      <c r="F13" s="17" t="s">
        <v>18</v>
      </c>
      <c r="G13" s="51">
        <v>0</v>
      </c>
      <c r="H13" s="60">
        <v>20</v>
      </c>
      <c r="I13" s="73">
        <v>16</v>
      </c>
      <c r="J13" s="51">
        <v>200546</v>
      </c>
      <c r="K13" s="94">
        <f t="shared" si="0"/>
        <v>200546</v>
      </c>
      <c r="L13" s="80">
        <f t="shared" si="1"/>
        <v>90</v>
      </c>
      <c r="M13" s="87">
        <f t="shared" si="2"/>
        <v>198000</v>
      </c>
      <c r="N13" s="87">
        <f t="shared" si="3"/>
        <v>852771.73368658789</v>
      </c>
      <c r="O13" s="87">
        <f t="shared" si="4"/>
        <v>652225.73368658789</v>
      </c>
      <c r="P13" s="79"/>
    </row>
    <row r="14" spans="1:16" x14ac:dyDescent="0.2">
      <c r="A14" s="18" t="s">
        <v>5</v>
      </c>
      <c r="B14" s="13">
        <f>50+50+44</f>
        <v>144</v>
      </c>
      <c r="C14" s="14">
        <v>121</v>
      </c>
      <c r="D14" s="15">
        <f>C14/B14%</f>
        <v>84.027777777777786</v>
      </c>
      <c r="E14" s="16">
        <v>3</v>
      </c>
      <c r="F14" s="17" t="s">
        <v>18</v>
      </c>
      <c r="G14" s="51">
        <v>0</v>
      </c>
      <c r="H14" s="60">
        <v>34</v>
      </c>
      <c r="I14" s="66">
        <v>28</v>
      </c>
      <c r="J14" s="51">
        <v>326669</v>
      </c>
      <c r="K14" s="94">
        <f t="shared" si="0"/>
        <v>326669</v>
      </c>
      <c r="L14" s="80">
        <f t="shared" si="1"/>
        <v>57.6</v>
      </c>
      <c r="M14" s="87">
        <f t="shared" si="2"/>
        <v>126720</v>
      </c>
      <c r="N14" s="87">
        <f t="shared" si="3"/>
        <v>545773.90955941624</v>
      </c>
      <c r="O14" s="87">
        <f t="shared" si="4"/>
        <v>219104.90955941624</v>
      </c>
      <c r="P14" s="79"/>
    </row>
    <row r="15" spans="1:16" x14ac:dyDescent="0.2">
      <c r="A15" s="19" t="s">
        <v>27</v>
      </c>
      <c r="B15" s="13">
        <f>48+30+35</f>
        <v>113</v>
      </c>
      <c r="C15" s="14">
        <v>53</v>
      </c>
      <c r="D15" s="15">
        <f>C15/B15%</f>
        <v>46.902654867256643</v>
      </c>
      <c r="E15" s="16">
        <v>3</v>
      </c>
      <c r="F15" s="17" t="s">
        <v>18</v>
      </c>
      <c r="G15" s="51">
        <v>0</v>
      </c>
      <c r="H15" s="60">
        <v>12</v>
      </c>
      <c r="I15" s="73">
        <v>11</v>
      </c>
      <c r="J15" s="51">
        <v>200546</v>
      </c>
      <c r="K15" s="94">
        <f t="shared" si="0"/>
        <v>200546</v>
      </c>
      <c r="L15" s="80">
        <f t="shared" si="1"/>
        <v>45.2</v>
      </c>
      <c r="M15" s="87">
        <f t="shared" si="2"/>
        <v>99440</v>
      </c>
      <c r="N15" s="87">
        <f t="shared" si="3"/>
        <v>428280.91514037526</v>
      </c>
      <c r="O15" s="87">
        <f t="shared" si="4"/>
        <v>227734.91514037526</v>
      </c>
      <c r="P15" s="79"/>
    </row>
    <row r="16" spans="1:16" x14ac:dyDescent="0.2">
      <c r="A16" s="12" t="s">
        <v>13</v>
      </c>
      <c r="B16" s="13">
        <f>33+12+24</f>
        <v>69</v>
      </c>
      <c r="C16" s="14">
        <v>32</v>
      </c>
      <c r="D16" s="15">
        <f>C16/B16%</f>
        <v>46.376811594202906</v>
      </c>
      <c r="E16" s="16">
        <v>3</v>
      </c>
      <c r="F16" s="17" t="s">
        <v>14</v>
      </c>
      <c r="G16" s="51">
        <f>200*11*C16</f>
        <v>70400</v>
      </c>
      <c r="H16" s="60">
        <v>19</v>
      </c>
      <c r="I16" s="66">
        <v>14</v>
      </c>
      <c r="J16" s="51">
        <v>200546</v>
      </c>
      <c r="K16" s="94">
        <f t="shared" si="0"/>
        <v>270946</v>
      </c>
      <c r="L16" s="80">
        <f t="shared" si="1"/>
        <v>27.6</v>
      </c>
      <c r="M16" s="87">
        <f t="shared" si="2"/>
        <v>60720</v>
      </c>
      <c r="N16" s="87">
        <f t="shared" si="3"/>
        <v>261516.6649972203</v>
      </c>
      <c r="O16" s="87">
        <f t="shared" si="4"/>
        <v>-9429.3350027796987</v>
      </c>
      <c r="P16" s="79"/>
    </row>
    <row r="17" spans="1:16" x14ac:dyDescent="0.2">
      <c r="A17" s="9"/>
      <c r="B17" s="43"/>
      <c r="C17" s="44"/>
      <c r="D17" s="45"/>
      <c r="E17" s="46"/>
      <c r="F17" s="47"/>
      <c r="G17" s="52"/>
      <c r="H17" s="60"/>
      <c r="I17" s="66"/>
      <c r="J17" s="52"/>
      <c r="K17" s="94">
        <f t="shared" si="0"/>
        <v>0</v>
      </c>
      <c r="L17" s="80">
        <f t="shared" si="1"/>
        <v>0</v>
      </c>
      <c r="M17" s="87"/>
      <c r="N17" s="87">
        <f t="shared" si="3"/>
        <v>0</v>
      </c>
      <c r="O17" s="87">
        <f t="shared" si="4"/>
        <v>0</v>
      </c>
      <c r="P17" s="79"/>
    </row>
    <row r="18" spans="1:16" x14ac:dyDescent="0.2">
      <c r="A18" s="12" t="s">
        <v>20</v>
      </c>
      <c r="B18" s="13">
        <f>14+10+12</f>
        <v>36</v>
      </c>
      <c r="C18" s="14">
        <v>31</v>
      </c>
      <c r="D18" s="15">
        <f>C18/B18%</f>
        <v>86.111111111111114</v>
      </c>
      <c r="E18" s="16">
        <v>3</v>
      </c>
      <c r="F18" s="20" t="s">
        <v>18</v>
      </c>
      <c r="G18" s="53">
        <v>0</v>
      </c>
      <c r="H18" s="60">
        <v>17</v>
      </c>
      <c r="I18" s="66">
        <v>11</v>
      </c>
      <c r="J18" s="51">
        <v>200546</v>
      </c>
      <c r="K18" s="94">
        <f t="shared" si="0"/>
        <v>200546</v>
      </c>
      <c r="L18" s="80">
        <f t="shared" si="1"/>
        <v>14.4</v>
      </c>
      <c r="M18" s="87">
        <f t="shared" si="2"/>
        <v>31680</v>
      </c>
      <c r="N18" s="87">
        <f t="shared" si="3"/>
        <v>136443.47738985406</v>
      </c>
      <c r="O18" s="87">
        <f t="shared" si="4"/>
        <v>-64102.522610145941</v>
      </c>
      <c r="P18" s="79"/>
    </row>
    <row r="19" spans="1:16" x14ac:dyDescent="0.2">
      <c r="A19" s="12" t="s">
        <v>29</v>
      </c>
      <c r="B19" s="13">
        <f>14+15+14</f>
        <v>43</v>
      </c>
      <c r="C19" s="14">
        <v>40</v>
      </c>
      <c r="D19" s="15">
        <f>C19/B19%</f>
        <v>93.023255813953483</v>
      </c>
      <c r="E19" s="16">
        <v>3</v>
      </c>
      <c r="F19" s="17" t="s">
        <v>30</v>
      </c>
      <c r="G19" s="51">
        <f>200*2*C19</f>
        <v>16000</v>
      </c>
      <c r="H19" s="60">
        <v>14</v>
      </c>
      <c r="I19" s="66">
        <v>13</v>
      </c>
      <c r="J19" s="51">
        <v>200546</v>
      </c>
      <c r="K19" s="94">
        <f t="shared" si="0"/>
        <v>216546</v>
      </c>
      <c r="L19" s="80">
        <f t="shared" si="1"/>
        <v>17.2</v>
      </c>
      <c r="M19" s="87">
        <f t="shared" si="2"/>
        <v>37840</v>
      </c>
      <c r="N19" s="87">
        <f t="shared" si="3"/>
        <v>162974.15354899236</v>
      </c>
      <c r="O19" s="87">
        <f t="shared" si="4"/>
        <v>-53571.846451007645</v>
      </c>
      <c r="P19" s="79"/>
    </row>
    <row r="20" spans="1:16" x14ac:dyDescent="0.2">
      <c r="A20" s="21" t="s">
        <v>31</v>
      </c>
      <c r="B20" s="13">
        <f>19+25+19</f>
        <v>63</v>
      </c>
      <c r="C20" s="14">
        <v>29</v>
      </c>
      <c r="D20" s="15">
        <f>C20/B20%</f>
        <v>46.031746031746032</v>
      </c>
      <c r="E20" s="16">
        <v>3</v>
      </c>
      <c r="F20" s="20" t="s">
        <v>18</v>
      </c>
      <c r="G20" s="53">
        <v>0</v>
      </c>
      <c r="H20" s="60">
        <v>20</v>
      </c>
      <c r="I20" s="66">
        <v>17</v>
      </c>
      <c r="J20" s="51">
        <v>202814</v>
      </c>
      <c r="K20" s="94">
        <f t="shared" si="0"/>
        <v>202814</v>
      </c>
      <c r="L20" s="80">
        <f t="shared" si="1"/>
        <v>25.200000000000003</v>
      </c>
      <c r="M20" s="87">
        <f t="shared" si="2"/>
        <v>55440.000000000007</v>
      </c>
      <c r="N20" s="87">
        <f t="shared" si="3"/>
        <v>238776.08543224464</v>
      </c>
      <c r="O20" s="87">
        <f t="shared" si="4"/>
        <v>35962.085432244639</v>
      </c>
      <c r="P20" s="79"/>
    </row>
    <row r="21" spans="1:16" x14ac:dyDescent="0.2">
      <c r="A21" s="12" t="s">
        <v>32</v>
      </c>
      <c r="B21" s="13">
        <f>58+62+54</f>
        <v>174</v>
      </c>
      <c r="C21" s="14">
        <v>164</v>
      </c>
      <c r="D21" s="15">
        <f>C21/B21%</f>
        <v>94.252873563218387</v>
      </c>
      <c r="E21" s="16">
        <v>4</v>
      </c>
      <c r="F21" s="17" t="s">
        <v>18</v>
      </c>
      <c r="G21" s="51">
        <v>0</v>
      </c>
      <c r="H21" s="60">
        <v>38</v>
      </c>
      <c r="I21" s="66">
        <v>39</v>
      </c>
      <c r="J21" s="51">
        <v>464455</v>
      </c>
      <c r="K21" s="94">
        <f t="shared" si="0"/>
        <v>464455</v>
      </c>
      <c r="L21" s="80">
        <f t="shared" si="1"/>
        <v>69.600000000000009</v>
      </c>
      <c r="M21" s="87">
        <f t="shared" si="2"/>
        <v>153120.00000000003</v>
      </c>
      <c r="N21" s="87">
        <f t="shared" si="3"/>
        <v>659476.80738429469</v>
      </c>
      <c r="O21" s="87">
        <f t="shared" si="4"/>
        <v>195021.80738429469</v>
      </c>
      <c r="P21" s="79"/>
    </row>
    <row r="22" spans="1:16" x14ac:dyDescent="0.2">
      <c r="A22" s="9"/>
      <c r="B22" s="10"/>
      <c r="C22" s="10"/>
      <c r="D22" s="10"/>
      <c r="E22" s="11"/>
      <c r="F22" s="10"/>
      <c r="G22" s="50"/>
      <c r="H22" s="60"/>
      <c r="I22" s="66"/>
      <c r="J22" s="50"/>
      <c r="K22" s="94">
        <f t="shared" si="0"/>
        <v>0</v>
      </c>
      <c r="L22" s="80">
        <f t="shared" si="1"/>
        <v>0</v>
      </c>
      <c r="M22" s="87"/>
      <c r="N22" s="87">
        <f t="shared" si="3"/>
        <v>0</v>
      </c>
      <c r="O22" s="87">
        <f t="shared" si="4"/>
        <v>0</v>
      </c>
      <c r="P22" s="79"/>
    </row>
    <row r="23" spans="1:16" x14ac:dyDescent="0.2">
      <c r="A23" s="12" t="s">
        <v>11</v>
      </c>
      <c r="B23" s="13">
        <f>24+17+15</f>
        <v>56</v>
      </c>
      <c r="C23" s="14">
        <v>32</v>
      </c>
      <c r="D23" s="15">
        <f t="shared" ref="D23:D28" si="5">C23/B23%</f>
        <v>57.142857142857139</v>
      </c>
      <c r="E23" s="16">
        <v>3</v>
      </c>
      <c r="F23" s="17" t="s">
        <v>12</v>
      </c>
      <c r="G23" s="51">
        <f>80*11*C23</f>
        <v>28160</v>
      </c>
      <c r="H23" s="60">
        <v>14</v>
      </c>
      <c r="I23" s="66">
        <v>11</v>
      </c>
      <c r="J23" s="51">
        <v>200546</v>
      </c>
      <c r="K23" s="94">
        <f t="shared" si="0"/>
        <v>228706</v>
      </c>
      <c r="L23" s="80">
        <f t="shared" si="1"/>
        <v>22.400000000000002</v>
      </c>
      <c r="M23" s="87">
        <f t="shared" si="2"/>
        <v>49280</v>
      </c>
      <c r="N23" s="87">
        <f t="shared" si="3"/>
        <v>212245.40927310634</v>
      </c>
      <c r="O23" s="87">
        <f t="shared" si="4"/>
        <v>-16460.590726893657</v>
      </c>
      <c r="P23" s="79"/>
    </row>
    <row r="24" spans="1:16" x14ac:dyDescent="0.2">
      <c r="A24" s="12" t="s">
        <v>15</v>
      </c>
      <c r="B24" s="13">
        <f>10+21+24</f>
        <v>55</v>
      </c>
      <c r="C24" s="14">
        <v>48</v>
      </c>
      <c r="D24" s="15">
        <f t="shared" si="5"/>
        <v>87.272727272727266</v>
      </c>
      <c r="E24" s="16">
        <v>4</v>
      </c>
      <c r="F24" s="17" t="s">
        <v>16</v>
      </c>
      <c r="G24" s="51">
        <f>100*11*C24</f>
        <v>52800</v>
      </c>
      <c r="H24" s="60">
        <v>32</v>
      </c>
      <c r="I24" s="66">
        <v>29</v>
      </c>
      <c r="J24" s="51">
        <v>345572</v>
      </c>
      <c r="K24" s="94">
        <f t="shared" si="0"/>
        <v>398372</v>
      </c>
      <c r="L24" s="80">
        <f t="shared" si="1"/>
        <v>22</v>
      </c>
      <c r="M24" s="87">
        <f t="shared" si="2"/>
        <v>48400</v>
      </c>
      <c r="N24" s="87">
        <f t="shared" si="3"/>
        <v>208455.31267894371</v>
      </c>
      <c r="O24" s="87">
        <f t="shared" si="4"/>
        <v>-189916.68732105629</v>
      </c>
      <c r="P24" s="79"/>
    </row>
    <row r="25" spans="1:16" x14ac:dyDescent="0.2">
      <c r="A25" s="12" t="s">
        <v>23</v>
      </c>
      <c r="B25" s="13">
        <f>19+24+20</f>
        <v>63</v>
      </c>
      <c r="C25" s="14">
        <v>53</v>
      </c>
      <c r="D25" s="15">
        <f>C25/B25%</f>
        <v>84.126984126984127</v>
      </c>
      <c r="E25" s="16">
        <v>3</v>
      </c>
      <c r="F25" s="17" t="s">
        <v>24</v>
      </c>
      <c r="G25" s="51">
        <f>100*2*C25</f>
        <v>10600</v>
      </c>
      <c r="H25" s="60">
        <v>25</v>
      </c>
      <c r="I25" s="66">
        <v>26</v>
      </c>
      <c r="J25" s="51">
        <v>310129</v>
      </c>
      <c r="K25" s="94">
        <f t="shared" si="0"/>
        <v>320729</v>
      </c>
      <c r="L25" s="80">
        <f t="shared" si="1"/>
        <v>25.200000000000003</v>
      </c>
      <c r="M25" s="87">
        <f t="shared" si="2"/>
        <v>55440.000000000007</v>
      </c>
      <c r="N25" s="87">
        <f t="shared" si="3"/>
        <v>238776.08543224464</v>
      </c>
      <c r="O25" s="87">
        <f t="shared" si="4"/>
        <v>-81952.914567755361</v>
      </c>
      <c r="P25" s="79"/>
    </row>
    <row r="26" spans="1:16" x14ac:dyDescent="0.2">
      <c r="A26" s="12" t="s">
        <v>22</v>
      </c>
      <c r="B26" s="13">
        <f>18+19+17</f>
        <v>54</v>
      </c>
      <c r="C26" s="14">
        <v>51</v>
      </c>
      <c r="D26" s="15">
        <f t="shared" si="5"/>
        <v>94.444444444444443</v>
      </c>
      <c r="E26" s="16">
        <v>3</v>
      </c>
      <c r="F26" s="17" t="s">
        <v>18</v>
      </c>
      <c r="G26" s="51">
        <v>0</v>
      </c>
      <c r="H26" s="60">
        <v>18</v>
      </c>
      <c r="I26" s="66">
        <v>15</v>
      </c>
      <c r="J26" s="51">
        <v>200546</v>
      </c>
      <c r="K26" s="94">
        <f t="shared" si="0"/>
        <v>200546</v>
      </c>
      <c r="L26" s="80">
        <f t="shared" si="1"/>
        <v>21.6</v>
      </c>
      <c r="M26" s="87">
        <f t="shared" si="2"/>
        <v>47520</v>
      </c>
      <c r="N26" s="87">
        <f t="shared" si="3"/>
        <v>204665.2160847811</v>
      </c>
      <c r="O26" s="87">
        <f t="shared" si="4"/>
        <v>4119.2160847811028</v>
      </c>
      <c r="P26" s="79"/>
    </row>
    <row r="27" spans="1:16" x14ac:dyDescent="0.2">
      <c r="A27" s="19" t="s">
        <v>28</v>
      </c>
      <c r="B27" s="13">
        <f>21+13+18</f>
        <v>52</v>
      </c>
      <c r="C27" s="14">
        <v>31</v>
      </c>
      <c r="D27" s="15">
        <f t="shared" si="5"/>
        <v>59.615384615384613</v>
      </c>
      <c r="E27" s="16">
        <v>3</v>
      </c>
      <c r="F27" s="17" t="s">
        <v>12</v>
      </c>
      <c r="G27" s="51">
        <f>80*11*C27</f>
        <v>27280</v>
      </c>
      <c r="H27" s="60">
        <v>10</v>
      </c>
      <c r="I27" s="73">
        <v>7</v>
      </c>
      <c r="J27" s="51">
        <v>200546</v>
      </c>
      <c r="K27" s="94">
        <f t="shared" si="0"/>
        <v>227826</v>
      </c>
      <c r="L27" s="80">
        <f t="shared" si="1"/>
        <v>20.8</v>
      </c>
      <c r="M27" s="87">
        <f t="shared" si="2"/>
        <v>45760</v>
      </c>
      <c r="N27" s="87">
        <f t="shared" si="3"/>
        <v>197085.02289645586</v>
      </c>
      <c r="O27" s="87">
        <f t="shared" si="4"/>
        <v>-30740.977103544137</v>
      </c>
      <c r="P27" s="79"/>
    </row>
    <row r="28" spans="1:16" x14ac:dyDescent="0.2">
      <c r="A28" s="12" t="s">
        <v>33</v>
      </c>
      <c r="B28" s="13">
        <f>19+23+19</f>
        <v>61</v>
      </c>
      <c r="C28" s="14">
        <v>58</v>
      </c>
      <c r="D28" s="15">
        <f t="shared" si="5"/>
        <v>95.081967213114751</v>
      </c>
      <c r="E28" s="16">
        <v>3</v>
      </c>
      <c r="F28" s="17" t="s">
        <v>18</v>
      </c>
      <c r="G28" s="51">
        <v>0</v>
      </c>
      <c r="H28" s="60">
        <v>35</v>
      </c>
      <c r="I28" s="66">
        <v>27</v>
      </c>
      <c r="J28" s="51">
        <v>321943</v>
      </c>
      <c r="K28" s="94">
        <f t="shared" si="0"/>
        <v>321943</v>
      </c>
      <c r="L28" s="80">
        <f t="shared" si="1"/>
        <v>24.400000000000002</v>
      </c>
      <c r="M28" s="87">
        <f t="shared" si="2"/>
        <v>53680</v>
      </c>
      <c r="N28" s="87">
        <f t="shared" si="3"/>
        <v>231195.8922439194</v>
      </c>
      <c r="O28" s="87">
        <f t="shared" si="4"/>
        <v>-90747.107756080601</v>
      </c>
      <c r="P28" s="79"/>
    </row>
    <row r="29" spans="1:16" x14ac:dyDescent="0.2">
      <c r="A29" s="22"/>
      <c r="B29" s="23"/>
      <c r="C29" s="24"/>
      <c r="D29" s="15"/>
      <c r="E29" s="25"/>
      <c r="F29" s="26"/>
      <c r="G29" s="54"/>
      <c r="H29" s="60"/>
      <c r="I29" s="66"/>
      <c r="J29" s="54"/>
      <c r="K29" s="94">
        <f t="shared" si="0"/>
        <v>0</v>
      </c>
      <c r="L29" s="80">
        <f t="shared" si="1"/>
        <v>0</v>
      </c>
      <c r="M29" s="87"/>
      <c r="N29" s="87">
        <f t="shared" si="3"/>
        <v>0</v>
      </c>
      <c r="O29" s="87"/>
      <c r="P29" s="79"/>
    </row>
    <row r="30" spans="1:16" x14ac:dyDescent="0.2">
      <c r="A30" s="22" t="s">
        <v>34</v>
      </c>
      <c r="B30" s="23">
        <v>0</v>
      </c>
      <c r="C30" s="24">
        <v>0</v>
      </c>
      <c r="D30" s="15">
        <v>0</v>
      </c>
      <c r="E30" s="25">
        <v>0</v>
      </c>
      <c r="F30" s="26">
        <v>0</v>
      </c>
      <c r="G30" s="54">
        <v>0</v>
      </c>
      <c r="H30" s="60"/>
      <c r="I30" s="66"/>
      <c r="J30" s="54"/>
      <c r="K30" s="94">
        <f t="shared" si="0"/>
        <v>0</v>
      </c>
      <c r="L30" s="80">
        <f t="shared" si="1"/>
        <v>0</v>
      </c>
      <c r="M30" s="87"/>
      <c r="N30" s="87"/>
      <c r="O30" s="87"/>
      <c r="P30" s="79"/>
    </row>
    <row r="31" spans="1:16" ht="13.5" thickBot="1" x14ac:dyDescent="0.25">
      <c r="A31" s="22"/>
      <c r="B31" s="23"/>
      <c r="C31" s="24"/>
      <c r="D31" s="23"/>
      <c r="E31" s="25"/>
      <c r="F31" s="23"/>
      <c r="G31" s="55"/>
      <c r="H31" s="61"/>
      <c r="I31" s="67"/>
      <c r="J31" s="55"/>
      <c r="K31" s="93"/>
      <c r="L31" s="80">
        <f t="shared" si="1"/>
        <v>0</v>
      </c>
      <c r="M31" s="85"/>
      <c r="N31" s="85"/>
      <c r="O31" s="85"/>
      <c r="P31" s="79"/>
    </row>
    <row r="32" spans="1:16" ht="13.5" thickBot="1" x14ac:dyDescent="0.25">
      <c r="A32" s="27" t="s">
        <v>35</v>
      </c>
      <c r="B32" s="28">
        <f>SUM(B5:B31)</f>
        <v>1439</v>
      </c>
      <c r="C32" s="28">
        <f>SUM(C5:C31)</f>
        <v>1103</v>
      </c>
      <c r="D32" s="74">
        <f>C32/B32%</f>
        <v>76.650451702571232</v>
      </c>
      <c r="E32" s="28"/>
      <c r="F32" s="28"/>
      <c r="G32" s="28">
        <f>SUM(G5:G31)</f>
        <v>226690</v>
      </c>
      <c r="H32" s="62">
        <f>SUM(H5:H31)</f>
        <v>408</v>
      </c>
      <c r="I32" s="68">
        <f>SUM(I5:I31)</f>
        <v>357</v>
      </c>
      <c r="J32" s="28">
        <f>SUM(J7:J31)</f>
        <v>4723226</v>
      </c>
      <c r="K32" s="28">
        <f>SUM(K7:K31)</f>
        <v>4949916</v>
      </c>
      <c r="L32" s="82">
        <f>SUM(L5:L31)</f>
        <v>575.59999999999991</v>
      </c>
      <c r="M32" s="81">
        <f>SUM(M5:M31)</f>
        <v>1266520</v>
      </c>
      <c r="N32" s="81">
        <f t="shared" ref="N32:O32" si="6">SUM(N5:N31)</f>
        <v>5453948.9989999989</v>
      </c>
      <c r="O32" s="81">
        <f t="shared" si="6"/>
        <v>504032.99900000007</v>
      </c>
      <c r="P32" s="79"/>
    </row>
    <row r="33" spans="1:16" x14ac:dyDescent="0.2">
      <c r="A33" s="10"/>
      <c r="B33" s="10"/>
      <c r="C33" s="30"/>
      <c r="D33" s="10"/>
      <c r="E33" s="11"/>
      <c r="F33" s="10"/>
      <c r="G33" s="50"/>
      <c r="H33" s="59"/>
      <c r="I33" s="65"/>
      <c r="J33" s="50"/>
      <c r="K33" s="93"/>
      <c r="L33" s="79"/>
      <c r="M33" s="85"/>
      <c r="N33" s="85"/>
      <c r="O33" s="85"/>
      <c r="P33" s="79"/>
    </row>
    <row r="34" spans="1:16" x14ac:dyDescent="0.2">
      <c r="A34" s="31" t="s">
        <v>36</v>
      </c>
      <c r="B34" s="10"/>
      <c r="C34" s="30"/>
      <c r="D34" s="10"/>
      <c r="E34" s="11"/>
      <c r="F34" s="10">
        <f>1439*40%</f>
        <v>575.6</v>
      </c>
      <c r="G34" s="50"/>
      <c r="H34" s="59"/>
      <c r="I34" s="65"/>
      <c r="J34" s="50"/>
      <c r="K34" s="93"/>
      <c r="L34" s="79"/>
      <c r="M34" s="85"/>
      <c r="N34" s="85"/>
      <c r="O34" s="85"/>
      <c r="P34" s="79"/>
    </row>
    <row r="35" spans="1:16" x14ac:dyDescent="0.2">
      <c r="A35" s="12" t="s">
        <v>37</v>
      </c>
      <c r="B35" s="13">
        <f>47+63+74</f>
        <v>184</v>
      </c>
      <c r="C35" s="14">
        <v>173</v>
      </c>
      <c r="D35" s="15">
        <f>C35/B35%</f>
        <v>94.021739130434781</v>
      </c>
      <c r="E35" s="32"/>
      <c r="F35" s="17"/>
      <c r="G35" s="51"/>
      <c r="H35" s="60">
        <v>125</v>
      </c>
      <c r="I35" s="66">
        <v>108</v>
      </c>
      <c r="J35" s="51">
        <v>1280685</v>
      </c>
      <c r="K35" s="94"/>
      <c r="L35" s="80">
        <f>C35</f>
        <v>173</v>
      </c>
      <c r="M35" s="87"/>
      <c r="N35" s="87"/>
      <c r="O35" s="87"/>
      <c r="P35" s="79"/>
    </row>
    <row r="36" spans="1:16" ht="24" x14ac:dyDescent="0.2">
      <c r="A36" s="33" t="s">
        <v>38</v>
      </c>
      <c r="B36" s="34"/>
      <c r="C36" s="35"/>
      <c r="D36" s="36"/>
      <c r="E36" s="37"/>
      <c r="F36" s="38" t="s">
        <v>39</v>
      </c>
      <c r="G36" s="57">
        <f>510*11*C35</f>
        <v>970530</v>
      </c>
      <c r="H36" s="63"/>
      <c r="I36" s="69"/>
      <c r="J36" s="57"/>
      <c r="K36" s="94"/>
      <c r="L36" s="79"/>
      <c r="M36" s="85"/>
      <c r="N36" s="85"/>
      <c r="O36" s="85"/>
      <c r="P36" s="79"/>
    </row>
    <row r="37" spans="1:16" ht="13.5" thickBot="1" x14ac:dyDescent="0.25">
      <c r="A37" s="39"/>
      <c r="B37" s="34"/>
      <c r="C37" s="35"/>
      <c r="D37" s="36"/>
      <c r="E37" s="37"/>
      <c r="F37" s="38"/>
      <c r="G37" s="57"/>
      <c r="H37" s="63"/>
      <c r="I37" s="69"/>
      <c r="J37" s="57"/>
      <c r="K37" s="94"/>
      <c r="L37" s="79"/>
      <c r="M37" s="88"/>
      <c r="N37" s="88"/>
      <c r="O37" s="88"/>
      <c r="P37" s="79"/>
    </row>
    <row r="38" spans="1:16" ht="13.5" thickBot="1" x14ac:dyDescent="0.25">
      <c r="A38" s="27" t="s">
        <v>6</v>
      </c>
      <c r="B38" s="28">
        <f>SUM(B32:B35)</f>
        <v>1623</v>
      </c>
      <c r="C38" s="28">
        <f t="shared" ref="C38" si="7">SUM(C32:C35)</f>
        <v>1276</v>
      </c>
      <c r="D38" s="29">
        <f>C38/B38%</f>
        <v>78.61983980283425</v>
      </c>
      <c r="E38" s="40"/>
      <c r="F38" s="28"/>
      <c r="G38" s="56">
        <f>SUM(G32:G37)</f>
        <v>1197220</v>
      </c>
      <c r="H38" s="62">
        <f>SUM(H32:H37)</f>
        <v>533</v>
      </c>
      <c r="I38" s="68">
        <f>SUM(I32:I37)</f>
        <v>465</v>
      </c>
      <c r="J38" s="56">
        <f>SUM(J32:J36)</f>
        <v>6003911</v>
      </c>
      <c r="K38" s="56"/>
      <c r="L38" s="81">
        <f>SUM(L32:L35)</f>
        <v>748.59999999999991</v>
      </c>
      <c r="M38" s="83"/>
      <c r="N38" s="83"/>
      <c r="O38" s="83"/>
      <c r="P38" s="79"/>
    </row>
    <row r="39" spans="1:16" x14ac:dyDescent="0.2">
      <c r="A39" s="4"/>
      <c r="B39" s="4"/>
      <c r="E39" s="5"/>
    </row>
    <row r="40" spans="1:16" x14ac:dyDescent="0.2">
      <c r="A40" s="41"/>
      <c r="B40" s="4"/>
      <c r="E40" s="5"/>
      <c r="L40" s="78"/>
      <c r="M40" s="1"/>
      <c r="N40" s="1"/>
      <c r="O40" s="1"/>
    </row>
    <row r="41" spans="1:16" x14ac:dyDescent="0.2">
      <c r="A41" s="41" t="s">
        <v>40</v>
      </c>
      <c r="B41" s="4"/>
      <c r="C41" s="42">
        <f>11311*1.0131*1.0095*1.0213</f>
        <v>11814.435426159134</v>
      </c>
      <c r="E41" s="5"/>
    </row>
    <row r="42" spans="1:16" x14ac:dyDescent="0.2">
      <c r="A42" s="4"/>
      <c r="B42" s="4"/>
      <c r="E42" s="5"/>
    </row>
    <row r="43" spans="1:16" x14ac:dyDescent="0.2">
      <c r="A43" s="41" t="s">
        <v>41</v>
      </c>
      <c r="B43" s="4"/>
      <c r="C43" s="42">
        <f>192000*1.0131*1.0095*1.0213</f>
        <v>200545.62831072003</v>
      </c>
      <c r="D43" s="4" t="s">
        <v>42</v>
      </c>
      <c r="E43" s="5"/>
      <c r="F43" s="4" t="s">
        <v>49</v>
      </c>
    </row>
    <row r="44" spans="1:16" x14ac:dyDescent="0.2">
      <c r="A44" s="4"/>
      <c r="B44" s="4"/>
      <c r="E44" s="5"/>
      <c r="F44" s="4" t="s">
        <v>50</v>
      </c>
      <c r="I44" s="72">
        <f>C47/I38</f>
        <v>13053.660212903225</v>
      </c>
      <c r="K44" s="72">
        <f>C51/L38</f>
        <v>7304.7208108469149</v>
      </c>
    </row>
    <row r="46" spans="1:16" x14ac:dyDescent="0.2">
      <c r="A46" s="70" t="s">
        <v>48</v>
      </c>
      <c r="F46" s="4" t="s">
        <v>62</v>
      </c>
      <c r="I46" s="72">
        <f>I27+I15+I13</f>
        <v>34</v>
      </c>
    </row>
    <row r="47" spans="1:16" x14ac:dyDescent="0.2">
      <c r="A47" t="s">
        <v>1</v>
      </c>
      <c r="C47" s="1">
        <f>6003909*1.011</f>
        <v>6069951.9989999998</v>
      </c>
      <c r="F47" s="4" t="s">
        <v>63</v>
      </c>
      <c r="I47" s="72">
        <f>I38-I46</f>
        <v>431</v>
      </c>
    </row>
    <row r="48" spans="1:16" x14ac:dyDescent="0.2">
      <c r="A48" t="s">
        <v>2</v>
      </c>
      <c r="C48" s="1">
        <v>0</v>
      </c>
    </row>
    <row r="49" spans="1:11" x14ac:dyDescent="0.2">
      <c r="A49" s="71" t="s">
        <v>52</v>
      </c>
      <c r="C49" s="1">
        <v>0</v>
      </c>
      <c r="F49" s="4" t="s">
        <v>51</v>
      </c>
      <c r="I49" s="72">
        <f>(C47+C50)/I47</f>
        <v>12687.503477958237</v>
      </c>
      <c r="K49" s="72"/>
    </row>
    <row r="50" spans="1:11" x14ac:dyDescent="0.2">
      <c r="A50" s="71" t="s">
        <v>73</v>
      </c>
      <c r="C50" s="1">
        <f>3*-200546</f>
        <v>-601638</v>
      </c>
      <c r="I50" s="72"/>
    </row>
    <row r="51" spans="1:11" ht="13.5" thickBot="1" x14ac:dyDescent="0.25">
      <c r="A51" t="s">
        <v>3</v>
      </c>
      <c r="C51" s="2">
        <f>SUM(C47:C50)</f>
        <v>5468313.9989999998</v>
      </c>
    </row>
    <row r="52" spans="1:11" ht="24.75" thickTop="1" x14ac:dyDescent="0.2">
      <c r="F52" s="77" t="s">
        <v>60</v>
      </c>
      <c r="G52" s="77" t="s">
        <v>61</v>
      </c>
      <c r="H52" t="s">
        <v>65</v>
      </c>
    </row>
    <row r="53" spans="1:11" x14ac:dyDescent="0.2">
      <c r="A53" s="71" t="s">
        <v>55</v>
      </c>
      <c r="C53" s="1">
        <v>1280685</v>
      </c>
      <c r="F53" s="75">
        <f>C53/I35</f>
        <v>11858.194444444445</v>
      </c>
      <c r="G53" s="48">
        <f>C53/L35</f>
        <v>7402.8034682080925</v>
      </c>
      <c r="H53" s="48">
        <f>500*11</f>
        <v>5500</v>
      </c>
      <c r="I53" s="1">
        <f>G53+H53</f>
        <v>12902.803468208092</v>
      </c>
    </row>
    <row r="54" spans="1:11" x14ac:dyDescent="0.2">
      <c r="C54" s="76"/>
      <c r="H54" s="48"/>
    </row>
    <row r="55" spans="1:11" x14ac:dyDescent="0.2">
      <c r="A55" s="71" t="s">
        <v>56</v>
      </c>
      <c r="C55" s="48">
        <f>C51-C53</f>
        <v>4187628.9989999998</v>
      </c>
      <c r="F55" s="75">
        <f>C55/I32</f>
        <v>11730.053218487394</v>
      </c>
      <c r="G55" s="48">
        <f>C55/L32</f>
        <v>7275.2414854065328</v>
      </c>
      <c r="H55" s="48">
        <f>200*11</f>
        <v>2200</v>
      </c>
      <c r="I55" s="1">
        <f>G55+H55</f>
        <v>9475.2414854065319</v>
      </c>
    </row>
    <row r="57" spans="1:11" x14ac:dyDescent="0.2">
      <c r="A57" s="71" t="s">
        <v>58</v>
      </c>
      <c r="B57" s="1">
        <v>200</v>
      </c>
    </row>
    <row r="58" spans="1:11" x14ac:dyDescent="0.2">
      <c r="A58" s="71" t="s">
        <v>59</v>
      </c>
      <c r="B58" s="1">
        <f>B57*11</f>
        <v>2200</v>
      </c>
    </row>
    <row r="60" spans="1:11" x14ac:dyDescent="0.2">
      <c r="A60" t="s">
        <v>72</v>
      </c>
    </row>
  </sheetData>
  <pageMargins left="0.74803149606299213" right="0.74803149606299213" top="0.98425196850393704" bottom="0.98425196850393704" header="0.51181102362204722" footer="0.51181102362204722"/>
  <pageSetup paperSize="8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58"/>
  <sheetViews>
    <sheetView showGridLines="0" tabSelected="1" zoomScale="85" zoomScaleNormal="85" workbookViewId="0">
      <selection activeCell="A57" sqref="A57:XFD57"/>
    </sheetView>
  </sheetViews>
  <sheetFormatPr defaultRowHeight="12.75" x14ac:dyDescent="0.2"/>
  <cols>
    <col min="1" max="1" width="0.7109375" customWidth="1"/>
    <col min="2" max="2" width="1.42578125" customWidth="1"/>
    <col min="3" max="3" width="29" customWidth="1"/>
    <col min="4" max="4" width="10.5703125" customWidth="1"/>
    <col min="5" max="5" width="8" customWidth="1"/>
    <col min="6" max="6" width="8.5703125" hidden="1" customWidth="1"/>
    <col min="7" max="7" width="12.5703125" style="109" customWidth="1"/>
    <col min="8" max="8" width="1.42578125" customWidth="1"/>
    <col min="9" max="9" width="10.85546875" style="97" customWidth="1"/>
    <col min="10" max="10" width="10" style="97" customWidth="1"/>
    <col min="11" max="11" width="11.28515625" style="97" customWidth="1"/>
    <col min="12" max="12" width="11.5703125" style="97" customWidth="1"/>
    <col min="13" max="13" width="1.42578125" customWidth="1"/>
    <col min="14" max="14" width="11.7109375" style="97" customWidth="1"/>
    <col min="15" max="15" width="9.28515625" style="97" customWidth="1"/>
    <col min="16" max="16" width="10" style="97" customWidth="1"/>
    <col min="17" max="17" width="10.140625" style="97" customWidth="1"/>
    <col min="18" max="18" width="11.28515625" style="97" customWidth="1"/>
    <col min="19" max="19" width="11.42578125" style="97" customWidth="1"/>
    <col min="20" max="20" width="11.28515625" style="97" customWidth="1"/>
    <col min="21" max="21" width="1.42578125" style="146" customWidth="1"/>
  </cols>
  <sheetData>
    <row r="1" spans="2:21" ht="18" x14ac:dyDescent="0.25">
      <c r="C1" s="153" t="s">
        <v>109</v>
      </c>
    </row>
    <row r="3" spans="2:21" ht="39" customHeight="1" thickBot="1" x14ac:dyDescent="0.35">
      <c r="H3" s="110"/>
      <c r="I3" s="164" t="s">
        <v>96</v>
      </c>
      <c r="J3" s="164"/>
      <c r="K3" s="164"/>
      <c r="L3" s="164"/>
      <c r="N3" s="164" t="s">
        <v>108</v>
      </c>
      <c r="O3" s="164"/>
      <c r="P3" s="164"/>
      <c r="Q3" s="164"/>
      <c r="R3" s="164"/>
      <c r="S3" s="164"/>
      <c r="T3" s="164"/>
      <c r="U3" s="147"/>
    </row>
    <row r="4" spans="2:21" s="107" customFormat="1" ht="54.75" customHeight="1" thickTop="1" thickBot="1" x14ac:dyDescent="0.25">
      <c r="B4" s="165" t="s">
        <v>89</v>
      </c>
      <c r="C4" s="166"/>
      <c r="D4" s="113" t="s">
        <v>75</v>
      </c>
      <c r="E4" s="152" t="s">
        <v>76</v>
      </c>
      <c r="F4" s="152" t="s">
        <v>110</v>
      </c>
      <c r="G4" s="113" t="s">
        <v>79</v>
      </c>
      <c r="H4" s="119"/>
      <c r="I4" s="98" t="s">
        <v>92</v>
      </c>
      <c r="J4" s="99" t="s">
        <v>90</v>
      </c>
      <c r="K4" s="99" t="s">
        <v>91</v>
      </c>
      <c r="L4" s="100" t="s">
        <v>85</v>
      </c>
      <c r="N4" s="98" t="s">
        <v>107</v>
      </c>
      <c r="O4" s="99" t="s">
        <v>112</v>
      </c>
      <c r="P4" s="99" t="s">
        <v>111</v>
      </c>
      <c r="Q4" s="152" t="s">
        <v>110</v>
      </c>
      <c r="R4" s="99" t="s">
        <v>104</v>
      </c>
      <c r="S4" s="99" t="s">
        <v>94</v>
      </c>
      <c r="T4" s="100" t="s">
        <v>85</v>
      </c>
      <c r="U4" s="148"/>
    </row>
    <row r="5" spans="2:21" ht="12" customHeight="1" x14ac:dyDescent="0.2">
      <c r="B5" s="111"/>
      <c r="C5" s="110"/>
      <c r="D5" s="114"/>
      <c r="E5" s="114"/>
      <c r="F5" s="114"/>
      <c r="G5" s="118" t="s">
        <v>80</v>
      </c>
      <c r="H5" s="111"/>
      <c r="I5" s="101"/>
      <c r="J5" s="102"/>
      <c r="K5" s="102"/>
      <c r="L5" s="103"/>
      <c r="N5" s="101"/>
      <c r="O5" s="102"/>
      <c r="P5" s="102"/>
      <c r="Q5" s="102"/>
      <c r="R5" s="102"/>
      <c r="S5" s="102"/>
      <c r="T5" s="103"/>
      <c r="U5" s="136"/>
    </row>
    <row r="6" spans="2:21" ht="18.75" customHeight="1" x14ac:dyDescent="0.2">
      <c r="B6" s="111"/>
      <c r="C6" s="112" t="s">
        <v>21</v>
      </c>
      <c r="D6" s="114">
        <v>39</v>
      </c>
      <c r="E6" s="114">
        <v>39</v>
      </c>
      <c r="F6" s="114">
        <v>17</v>
      </c>
      <c r="G6" s="120">
        <v>0</v>
      </c>
      <c r="H6" s="111"/>
      <c r="I6" s="101">
        <f>F6</f>
        <v>17</v>
      </c>
      <c r="J6" s="102">
        <v>203481</v>
      </c>
      <c r="K6" s="102">
        <f>(E6*G6)*11</f>
        <v>0</v>
      </c>
      <c r="L6" s="103">
        <f>J6+K6</f>
        <v>203481</v>
      </c>
      <c r="N6" s="101">
        <f>$Q$37</f>
        <v>75000</v>
      </c>
      <c r="O6" s="102">
        <f>D6</f>
        <v>39</v>
      </c>
      <c r="P6" s="102">
        <f>O6*50%</f>
        <v>19.5</v>
      </c>
      <c r="Q6" s="102">
        <f>F6</f>
        <v>17</v>
      </c>
      <c r="R6" s="102">
        <f>N6+($Q$34*O6)+(P6*$Q$35)+(Q6*$Q$36)</f>
        <v>234758.44507194395</v>
      </c>
      <c r="S6" s="136">
        <f>(P6*$N$32)*11</f>
        <v>21450</v>
      </c>
      <c r="T6" s="103">
        <f>R6+S6</f>
        <v>256208.44507194395</v>
      </c>
      <c r="U6" s="136"/>
    </row>
    <row r="7" spans="2:21" s="160" customFormat="1" ht="18.75" customHeight="1" x14ac:dyDescent="0.2">
      <c r="B7" s="128"/>
      <c r="C7" s="129" t="s">
        <v>17</v>
      </c>
      <c r="D7" s="130">
        <v>58</v>
      </c>
      <c r="E7" s="130">
        <v>56</v>
      </c>
      <c r="F7" s="130">
        <v>23</v>
      </c>
      <c r="G7" s="131">
        <v>0</v>
      </c>
      <c r="H7" s="128"/>
      <c r="I7" s="132">
        <f>F7</f>
        <v>23</v>
      </c>
      <c r="J7" s="133">
        <v>279200</v>
      </c>
      <c r="K7" s="133">
        <f>(E7*G7)*11</f>
        <v>0</v>
      </c>
      <c r="L7" s="134">
        <f t="shared" ref="L7:L23" si="0">J7+K7</f>
        <v>279200</v>
      </c>
      <c r="M7" s="135"/>
      <c r="N7" s="132">
        <f>$Q$37</f>
        <v>75000</v>
      </c>
      <c r="O7" s="133">
        <f>D7</f>
        <v>58</v>
      </c>
      <c r="P7" s="133">
        <f t="shared" ref="P7:P23" si="1">O7*50%</f>
        <v>29</v>
      </c>
      <c r="Q7" s="133">
        <f>F7</f>
        <v>23</v>
      </c>
      <c r="R7" s="133">
        <f>N7+($Q$34*O7)+(P7*$Q$35)+(Q7*$Q$36)</f>
        <v>293266.76894209522</v>
      </c>
      <c r="S7" s="133">
        <f>(P7*$N$32)*11</f>
        <v>31900</v>
      </c>
      <c r="T7" s="134">
        <f t="shared" ref="T7:T9" si="2">R7+S7</f>
        <v>325166.76894209522</v>
      </c>
      <c r="U7" s="136"/>
    </row>
    <row r="8" spans="2:21" s="160" customFormat="1" ht="18.75" customHeight="1" x14ac:dyDescent="0.2">
      <c r="B8" s="154"/>
      <c r="C8" s="155" t="s">
        <v>4</v>
      </c>
      <c r="D8" s="156">
        <v>71</v>
      </c>
      <c r="E8" s="156">
        <v>68</v>
      </c>
      <c r="F8" s="156">
        <v>27</v>
      </c>
      <c r="G8" s="157">
        <v>0</v>
      </c>
      <c r="H8" s="154"/>
      <c r="I8" s="158">
        <f>F8</f>
        <v>27</v>
      </c>
      <c r="J8" s="136">
        <v>324489</v>
      </c>
      <c r="K8" s="136">
        <f>(E8*G8)*11</f>
        <v>0</v>
      </c>
      <c r="L8" s="159">
        <f t="shared" si="0"/>
        <v>324489</v>
      </c>
      <c r="N8" s="158">
        <f>$Q$37</f>
        <v>75000</v>
      </c>
      <c r="O8" s="136">
        <f>D8</f>
        <v>71</v>
      </c>
      <c r="P8" s="136">
        <f t="shared" si="1"/>
        <v>35.5</v>
      </c>
      <c r="Q8" s="136">
        <f>F8</f>
        <v>27</v>
      </c>
      <c r="R8" s="136">
        <f>N8+($Q$34*O8)+(P8*$Q$35)+(Q8*$Q$36)</f>
        <v>332407.48985688115</v>
      </c>
      <c r="S8" s="136">
        <f>(P8*$N$32)*11</f>
        <v>39050</v>
      </c>
      <c r="T8" s="159">
        <f t="shared" si="2"/>
        <v>371457.48985688115</v>
      </c>
      <c r="U8" s="136"/>
    </row>
    <row r="9" spans="2:21" s="160" customFormat="1" ht="18.75" customHeight="1" x14ac:dyDescent="0.2">
      <c r="B9" s="128"/>
      <c r="C9" s="129" t="s">
        <v>25</v>
      </c>
      <c r="D9" s="130">
        <v>63</v>
      </c>
      <c r="E9" s="130">
        <v>34</v>
      </c>
      <c r="F9" s="130">
        <v>12</v>
      </c>
      <c r="G9" s="131">
        <v>50</v>
      </c>
      <c r="H9" s="128"/>
      <c r="I9" s="132">
        <f>F9</f>
        <v>12</v>
      </c>
      <c r="J9" s="133">
        <v>202752</v>
      </c>
      <c r="K9" s="133">
        <f>(E9*G9)*11</f>
        <v>18700</v>
      </c>
      <c r="L9" s="134">
        <f t="shared" si="0"/>
        <v>221452</v>
      </c>
      <c r="M9" s="135"/>
      <c r="N9" s="132">
        <f>$Q$37</f>
        <v>75000</v>
      </c>
      <c r="O9" s="133">
        <f>D9</f>
        <v>63</v>
      </c>
      <c r="P9" s="133">
        <f t="shared" si="1"/>
        <v>31.5</v>
      </c>
      <c r="Q9" s="133">
        <f>F9</f>
        <v>12</v>
      </c>
      <c r="R9" s="133">
        <f>N9+($Q$34*O9)+(P9*$Q$35)+(Q9*$Q$36)</f>
        <v>202154.52284168135</v>
      </c>
      <c r="S9" s="133">
        <f>(P9*$N$32)*11</f>
        <v>34650</v>
      </c>
      <c r="T9" s="134">
        <f t="shared" si="2"/>
        <v>236804.52284168135</v>
      </c>
      <c r="U9" s="136"/>
    </row>
    <row r="10" spans="2:21" s="160" customFormat="1" ht="11.25" customHeight="1" x14ac:dyDescent="0.2">
      <c r="B10" s="154"/>
      <c r="C10" s="161"/>
      <c r="D10" s="156"/>
      <c r="E10" s="156"/>
      <c r="F10" s="156"/>
      <c r="G10" s="157"/>
      <c r="H10" s="154"/>
      <c r="I10" s="158"/>
      <c r="J10" s="136"/>
      <c r="K10" s="136"/>
      <c r="L10" s="159"/>
      <c r="N10" s="158"/>
      <c r="O10" s="136"/>
      <c r="P10" s="136"/>
      <c r="Q10" s="136"/>
      <c r="R10" s="136"/>
      <c r="S10" s="136"/>
      <c r="T10" s="159"/>
      <c r="U10" s="136"/>
    </row>
    <row r="11" spans="2:21" s="160" customFormat="1" ht="18.75" customHeight="1" x14ac:dyDescent="0.2">
      <c r="B11" s="154"/>
      <c r="C11" s="155" t="s">
        <v>5</v>
      </c>
      <c r="D11" s="156">
        <v>144</v>
      </c>
      <c r="E11" s="156">
        <v>124</v>
      </c>
      <c r="F11" s="156">
        <v>27</v>
      </c>
      <c r="G11" s="157">
        <v>0</v>
      </c>
      <c r="H11" s="154"/>
      <c r="I11" s="158">
        <f>F11</f>
        <v>27</v>
      </c>
      <c r="J11" s="136">
        <v>323295</v>
      </c>
      <c r="K11" s="136">
        <f>(E11*G11)*11</f>
        <v>0</v>
      </c>
      <c r="L11" s="159">
        <f t="shared" si="0"/>
        <v>323295</v>
      </c>
      <c r="N11" s="158">
        <f>$Q$37</f>
        <v>75000</v>
      </c>
      <c r="O11" s="136">
        <f>D11</f>
        <v>144</v>
      </c>
      <c r="P11" s="136">
        <f t="shared" si="1"/>
        <v>72</v>
      </c>
      <c r="Q11" s="136">
        <f>F11</f>
        <v>27</v>
      </c>
      <c r="R11" s="136">
        <f>N11+($Q$34*O11)+(P11*$Q$35)+(Q11*$Q$36)</f>
        <v>362010.08515290712</v>
      </c>
      <c r="S11" s="136">
        <f>(P11*$N$32)*11</f>
        <v>79200</v>
      </c>
      <c r="T11" s="159">
        <f t="shared" ref="T11:T12" si="3">R11+S11</f>
        <v>441210.08515290712</v>
      </c>
      <c r="U11" s="136"/>
    </row>
    <row r="12" spans="2:21" s="160" customFormat="1" ht="18.75" customHeight="1" x14ac:dyDescent="0.2">
      <c r="B12" s="128"/>
      <c r="C12" s="129" t="s">
        <v>13</v>
      </c>
      <c r="D12" s="130">
        <v>69</v>
      </c>
      <c r="E12" s="130">
        <v>30</v>
      </c>
      <c r="F12" s="130">
        <v>13</v>
      </c>
      <c r="G12" s="131">
        <v>200</v>
      </c>
      <c r="H12" s="128"/>
      <c r="I12" s="132">
        <f>F12</f>
        <v>13</v>
      </c>
      <c r="J12" s="133">
        <v>202752</v>
      </c>
      <c r="K12" s="133">
        <f>(E12*G12)*11</f>
        <v>66000</v>
      </c>
      <c r="L12" s="134">
        <f t="shared" si="0"/>
        <v>268752</v>
      </c>
      <c r="M12" s="135"/>
      <c r="N12" s="132">
        <f>$Q$37</f>
        <v>75000</v>
      </c>
      <c r="O12" s="133">
        <f>D12</f>
        <v>69</v>
      </c>
      <c r="P12" s="133">
        <f t="shared" si="1"/>
        <v>34.5</v>
      </c>
      <c r="Q12" s="133">
        <f>F12</f>
        <v>13</v>
      </c>
      <c r="R12" s="133">
        <f>N12+($Q$34*O12)+(P12*$Q$35)+(Q12*$Q$36)</f>
        <v>213054.86933152948</v>
      </c>
      <c r="S12" s="133">
        <f>(P12*$N$32)*11</f>
        <v>37950</v>
      </c>
      <c r="T12" s="134">
        <f t="shared" si="3"/>
        <v>251004.86933152948</v>
      </c>
      <c r="U12" s="136"/>
    </row>
    <row r="13" spans="2:21" s="160" customFormat="1" ht="11.25" customHeight="1" x14ac:dyDescent="0.2">
      <c r="B13" s="154"/>
      <c r="C13" s="161"/>
      <c r="D13" s="156"/>
      <c r="E13" s="156"/>
      <c r="F13" s="156"/>
      <c r="G13" s="157"/>
      <c r="H13" s="154"/>
      <c r="I13" s="158"/>
      <c r="J13" s="136"/>
      <c r="K13" s="136"/>
      <c r="L13" s="159"/>
      <c r="N13" s="158"/>
      <c r="O13" s="136"/>
      <c r="P13" s="136"/>
      <c r="Q13" s="136"/>
      <c r="R13" s="136"/>
      <c r="S13" s="136"/>
      <c r="T13" s="159"/>
      <c r="U13" s="136"/>
    </row>
    <row r="14" spans="2:21" s="160" customFormat="1" ht="18.75" customHeight="1" x14ac:dyDescent="0.2">
      <c r="B14" s="154"/>
      <c r="C14" s="155" t="s">
        <v>20</v>
      </c>
      <c r="D14" s="156">
        <v>36</v>
      </c>
      <c r="E14" s="156">
        <v>32</v>
      </c>
      <c r="F14" s="156">
        <v>21</v>
      </c>
      <c r="G14" s="157">
        <v>0</v>
      </c>
      <c r="H14" s="154"/>
      <c r="I14" s="158">
        <f t="shared" ref="I14:I23" si="4">F14</f>
        <v>21</v>
      </c>
      <c r="J14" s="136">
        <v>248842</v>
      </c>
      <c r="K14" s="136">
        <f>(E14*G14)*11</f>
        <v>0</v>
      </c>
      <c r="L14" s="159">
        <f t="shared" si="0"/>
        <v>248842</v>
      </c>
      <c r="N14" s="158">
        <f>$Q$37</f>
        <v>75000</v>
      </c>
      <c r="O14" s="136">
        <f>D14</f>
        <v>36</v>
      </c>
      <c r="P14" s="136">
        <f t="shared" si="1"/>
        <v>18</v>
      </c>
      <c r="Q14" s="136">
        <f>F14</f>
        <v>21</v>
      </c>
      <c r="R14" s="136">
        <f>N14+($Q$34*O14)+(P14*$Q$35)+(Q14*$Q$36)</f>
        <v>267410.92592184746</v>
      </c>
      <c r="S14" s="136">
        <f>(P14*$N$32)*11</f>
        <v>19800</v>
      </c>
      <c r="T14" s="159">
        <f t="shared" ref="T14:T17" si="5">R14+S14</f>
        <v>287210.92592184746</v>
      </c>
      <c r="U14" s="136"/>
    </row>
    <row r="15" spans="2:21" s="160" customFormat="1" ht="18.75" customHeight="1" x14ac:dyDescent="0.2">
      <c r="B15" s="128"/>
      <c r="C15" s="129" t="s">
        <v>29</v>
      </c>
      <c r="D15" s="130">
        <v>43</v>
      </c>
      <c r="E15" s="130">
        <v>42</v>
      </c>
      <c r="F15" s="130">
        <v>16</v>
      </c>
      <c r="G15" s="131">
        <v>200</v>
      </c>
      <c r="H15" s="128"/>
      <c r="I15" s="132">
        <f t="shared" si="4"/>
        <v>16</v>
      </c>
      <c r="J15" s="133">
        <v>202752</v>
      </c>
      <c r="K15" s="133">
        <f>(E15*G15)*2</f>
        <v>16800</v>
      </c>
      <c r="L15" s="134">
        <f t="shared" si="0"/>
        <v>219552</v>
      </c>
      <c r="M15" s="135"/>
      <c r="N15" s="132">
        <f>$Q$37</f>
        <v>75000</v>
      </c>
      <c r="O15" s="133">
        <f>D15</f>
        <v>43</v>
      </c>
      <c r="P15" s="133">
        <f t="shared" si="1"/>
        <v>21.5</v>
      </c>
      <c r="Q15" s="133">
        <f>F15</f>
        <v>16</v>
      </c>
      <c r="R15" s="133">
        <f>N15+($Q$34*O15)+(P15*$Q$35)+(Q15*$Q$36)</f>
        <v>227913.24862264731</v>
      </c>
      <c r="S15" s="133">
        <f>(P15*$N$32)*11</f>
        <v>23650</v>
      </c>
      <c r="T15" s="134">
        <f t="shared" si="5"/>
        <v>251563.24862264731</v>
      </c>
      <c r="U15" s="136"/>
    </row>
    <row r="16" spans="2:21" s="160" customFormat="1" ht="18.75" customHeight="1" x14ac:dyDescent="0.2">
      <c r="B16" s="154"/>
      <c r="C16" s="155" t="s">
        <v>31</v>
      </c>
      <c r="D16" s="156">
        <v>63</v>
      </c>
      <c r="E16" s="156">
        <v>30</v>
      </c>
      <c r="F16" s="156">
        <v>18</v>
      </c>
      <c r="G16" s="157">
        <v>0</v>
      </c>
      <c r="H16" s="154"/>
      <c r="I16" s="158">
        <f t="shared" si="4"/>
        <v>18</v>
      </c>
      <c r="J16" s="136">
        <v>214004</v>
      </c>
      <c r="K16" s="136">
        <f>(E16*G16)*11</f>
        <v>0</v>
      </c>
      <c r="L16" s="159">
        <f t="shared" si="0"/>
        <v>214004</v>
      </c>
      <c r="N16" s="158">
        <f>$Q$37</f>
        <v>75000</v>
      </c>
      <c r="O16" s="136">
        <f>D16</f>
        <v>63</v>
      </c>
      <c r="P16" s="136">
        <f t="shared" si="1"/>
        <v>31.5</v>
      </c>
      <c r="Q16" s="136">
        <f>F16</f>
        <v>18</v>
      </c>
      <c r="R16" s="136">
        <f>N16+($Q$34*O16)+(P16*$Q$35)+(Q16*$Q$36)</f>
        <v>252958.0616347848</v>
      </c>
      <c r="S16" s="136">
        <f>(P16*$N$32)*11</f>
        <v>34650</v>
      </c>
      <c r="T16" s="159">
        <f t="shared" si="5"/>
        <v>287608.0616347848</v>
      </c>
      <c r="U16" s="136"/>
    </row>
    <row r="17" spans="2:21" s="160" customFormat="1" ht="18.75" customHeight="1" x14ac:dyDescent="0.2">
      <c r="B17" s="128"/>
      <c r="C17" s="129" t="s">
        <v>32</v>
      </c>
      <c r="D17" s="130">
        <v>174</v>
      </c>
      <c r="E17" s="130">
        <v>174</v>
      </c>
      <c r="F17" s="130">
        <v>37</v>
      </c>
      <c r="G17" s="131">
        <v>0</v>
      </c>
      <c r="H17" s="128"/>
      <c r="I17" s="132">
        <f t="shared" si="4"/>
        <v>37</v>
      </c>
      <c r="J17" s="133">
        <v>444929</v>
      </c>
      <c r="K17" s="133">
        <f>(E17*G17)*11</f>
        <v>0</v>
      </c>
      <c r="L17" s="134">
        <f t="shared" si="0"/>
        <v>444929</v>
      </c>
      <c r="M17" s="135"/>
      <c r="N17" s="132">
        <f>$Q$37</f>
        <v>75000</v>
      </c>
      <c r="O17" s="133">
        <f>D17</f>
        <v>174</v>
      </c>
      <c r="P17" s="133">
        <f t="shared" si="1"/>
        <v>87</v>
      </c>
      <c r="Q17" s="133">
        <f>F17</f>
        <v>37</v>
      </c>
      <c r="R17" s="133">
        <f>N17+($Q$34*O17)+(P17*$Q$35)+(Q17*$Q$36)</f>
        <v>458848.09992973402</v>
      </c>
      <c r="S17" s="133">
        <f>(P17*$N$32)*11</f>
        <v>95700</v>
      </c>
      <c r="T17" s="134">
        <f t="shared" si="5"/>
        <v>554548.09992973402</v>
      </c>
      <c r="U17" s="136"/>
    </row>
    <row r="18" spans="2:21" s="160" customFormat="1" ht="11.25" customHeight="1" x14ac:dyDescent="0.2">
      <c r="B18" s="154"/>
      <c r="C18" s="161"/>
      <c r="D18" s="156"/>
      <c r="E18" s="156"/>
      <c r="F18" s="156"/>
      <c r="G18" s="157"/>
      <c r="H18" s="154"/>
      <c r="I18" s="158">
        <f t="shared" si="4"/>
        <v>0</v>
      </c>
      <c r="J18" s="136"/>
      <c r="K18" s="136"/>
      <c r="L18" s="159"/>
      <c r="N18" s="158"/>
      <c r="O18" s="136"/>
      <c r="P18" s="136"/>
      <c r="Q18" s="136"/>
      <c r="R18" s="136"/>
      <c r="S18" s="136"/>
      <c r="T18" s="159"/>
      <c r="U18" s="136"/>
    </row>
    <row r="19" spans="2:21" s="160" customFormat="1" ht="18.75" customHeight="1" x14ac:dyDescent="0.2">
      <c r="B19" s="154"/>
      <c r="C19" s="155" t="s">
        <v>11</v>
      </c>
      <c r="D19" s="156">
        <v>56</v>
      </c>
      <c r="E19" s="156">
        <v>30</v>
      </c>
      <c r="F19" s="156">
        <v>13</v>
      </c>
      <c r="G19" s="157">
        <v>80</v>
      </c>
      <c r="H19" s="154"/>
      <c r="I19" s="158">
        <f t="shared" si="4"/>
        <v>13</v>
      </c>
      <c r="J19" s="136">
        <v>202752</v>
      </c>
      <c r="K19" s="136">
        <f>(E19*G19)*11</f>
        <v>26400</v>
      </c>
      <c r="L19" s="159">
        <f t="shared" si="0"/>
        <v>229152</v>
      </c>
      <c r="N19" s="158">
        <f>$Q$37</f>
        <v>75000</v>
      </c>
      <c r="O19" s="136">
        <f>D19</f>
        <v>56</v>
      </c>
      <c r="P19" s="136">
        <f t="shared" si="1"/>
        <v>28</v>
      </c>
      <c r="Q19" s="136">
        <f>F19</f>
        <v>13</v>
      </c>
      <c r="R19" s="136">
        <f>N19+($Q$34*O19)+(P19*$Q$35)+(Q19*$Q$36)</f>
        <v>207783.17427881254</v>
      </c>
      <c r="S19" s="136">
        <f>(P19*$N$32)*11</f>
        <v>30800</v>
      </c>
      <c r="T19" s="159">
        <f t="shared" ref="T19:T22" si="6">R19+S19</f>
        <v>238583.17427881254</v>
      </c>
      <c r="U19" s="136"/>
    </row>
    <row r="20" spans="2:21" s="160" customFormat="1" ht="18.75" customHeight="1" x14ac:dyDescent="0.2">
      <c r="B20" s="128"/>
      <c r="C20" s="129" t="s">
        <v>15</v>
      </c>
      <c r="D20" s="130">
        <v>55</v>
      </c>
      <c r="E20" s="130">
        <v>45</v>
      </c>
      <c r="F20" s="130">
        <v>30</v>
      </c>
      <c r="G20" s="131">
        <v>100</v>
      </c>
      <c r="H20" s="128"/>
      <c r="I20" s="132">
        <f t="shared" si="4"/>
        <v>30</v>
      </c>
      <c r="J20" s="133">
        <v>356092</v>
      </c>
      <c r="K20" s="133">
        <f>(E20*G20)*11</f>
        <v>49500</v>
      </c>
      <c r="L20" s="134">
        <f t="shared" si="0"/>
        <v>405592</v>
      </c>
      <c r="M20" s="135"/>
      <c r="N20" s="132">
        <f>$Q$37</f>
        <v>75000</v>
      </c>
      <c r="O20" s="133">
        <f>D20</f>
        <v>55</v>
      </c>
      <c r="P20" s="133">
        <f t="shared" si="1"/>
        <v>27.5</v>
      </c>
      <c r="Q20" s="133">
        <f>F20</f>
        <v>30</v>
      </c>
      <c r="R20" s="133">
        <f>N20+($Q$34*O20)+(P20*$Q$35)+(Q20*$Q$36)</f>
        <v>351321.01918855048</v>
      </c>
      <c r="S20" s="133">
        <f>(P20*$N$32)*11</f>
        <v>30250</v>
      </c>
      <c r="T20" s="134">
        <f t="shared" si="6"/>
        <v>381571.01918855048</v>
      </c>
      <c r="U20" s="136"/>
    </row>
    <row r="21" spans="2:21" s="160" customFormat="1" ht="18.75" customHeight="1" x14ac:dyDescent="0.2">
      <c r="B21" s="154"/>
      <c r="C21" s="155" t="s">
        <v>23</v>
      </c>
      <c r="D21" s="156">
        <v>63</v>
      </c>
      <c r="E21" s="156">
        <v>58</v>
      </c>
      <c r="F21" s="156">
        <v>24</v>
      </c>
      <c r="G21" s="162">
        <v>100</v>
      </c>
      <c r="H21" s="154"/>
      <c r="I21" s="158">
        <f t="shared" si="4"/>
        <v>24</v>
      </c>
      <c r="J21" s="136">
        <v>285172</v>
      </c>
      <c r="K21" s="136">
        <f>(E21*G21)*2</f>
        <v>11600</v>
      </c>
      <c r="L21" s="159">
        <f t="shared" si="0"/>
        <v>296772</v>
      </c>
      <c r="N21" s="158">
        <f>$Q$37</f>
        <v>75000</v>
      </c>
      <c r="O21" s="136">
        <f>D21</f>
        <v>63</v>
      </c>
      <c r="P21" s="136">
        <f t="shared" si="1"/>
        <v>31.5</v>
      </c>
      <c r="Q21" s="136">
        <f>F21</f>
        <v>24</v>
      </c>
      <c r="R21" s="136">
        <f>N21+($Q$34*O21)+(P21*$Q$35)+(Q21*$Q$36)</f>
        <v>303761.60042788822</v>
      </c>
      <c r="S21" s="136">
        <f>(P21*$N$32)*11</f>
        <v>34650</v>
      </c>
      <c r="T21" s="159">
        <f t="shared" si="6"/>
        <v>338411.60042788822</v>
      </c>
      <c r="U21" s="136"/>
    </row>
    <row r="22" spans="2:21" s="160" customFormat="1" ht="18.75" customHeight="1" x14ac:dyDescent="0.2">
      <c r="B22" s="128"/>
      <c r="C22" s="129" t="s">
        <v>22</v>
      </c>
      <c r="D22" s="130">
        <v>54</v>
      </c>
      <c r="E22" s="130">
        <v>52</v>
      </c>
      <c r="F22" s="130">
        <v>20</v>
      </c>
      <c r="G22" s="131">
        <v>0</v>
      </c>
      <c r="H22" s="128"/>
      <c r="I22" s="132">
        <f t="shared" si="4"/>
        <v>20</v>
      </c>
      <c r="J22" s="133">
        <v>234409</v>
      </c>
      <c r="K22" s="133">
        <f>(E22*G22)*11</f>
        <v>0</v>
      </c>
      <c r="L22" s="134">
        <f t="shared" si="0"/>
        <v>234409</v>
      </c>
      <c r="M22" s="135"/>
      <c r="N22" s="132">
        <f>$Q$37</f>
        <v>75000</v>
      </c>
      <c r="O22" s="133">
        <f>D22</f>
        <v>54</v>
      </c>
      <c r="P22" s="133">
        <f t="shared" si="1"/>
        <v>27</v>
      </c>
      <c r="Q22" s="133">
        <f>F22</f>
        <v>20</v>
      </c>
      <c r="R22" s="133">
        <f>N22+($Q$34*O22)+(P22*$Q$35)+(Q22*$Q$36)</f>
        <v>266242.9395293229</v>
      </c>
      <c r="S22" s="133">
        <f>(P22*$N$32)*11</f>
        <v>29700</v>
      </c>
      <c r="T22" s="134">
        <f t="shared" si="6"/>
        <v>295942.9395293229</v>
      </c>
      <c r="U22" s="136"/>
    </row>
    <row r="23" spans="2:21" ht="18.75" customHeight="1" x14ac:dyDescent="0.2">
      <c r="B23" s="111"/>
      <c r="C23" s="112" t="s">
        <v>33</v>
      </c>
      <c r="D23" s="114">
        <v>61</v>
      </c>
      <c r="E23" s="114">
        <v>60</v>
      </c>
      <c r="F23" s="114">
        <v>26</v>
      </c>
      <c r="G23" s="120">
        <v>0</v>
      </c>
      <c r="H23" s="111"/>
      <c r="I23" s="101">
        <f t="shared" si="4"/>
        <v>26</v>
      </c>
      <c r="J23" s="102">
        <v>312047</v>
      </c>
      <c r="K23" s="102">
        <f>(E23*G23)*11</f>
        <v>0</v>
      </c>
      <c r="L23" s="103">
        <f t="shared" si="0"/>
        <v>312047</v>
      </c>
      <c r="N23" s="101">
        <f>$Q$37</f>
        <v>75000</v>
      </c>
      <c r="O23" s="102">
        <f>D23</f>
        <v>61</v>
      </c>
      <c r="P23" s="102">
        <f t="shared" si="1"/>
        <v>30.5</v>
      </c>
      <c r="Q23" s="102">
        <f>F23</f>
        <v>26</v>
      </c>
      <c r="R23" s="102">
        <f>N23+($Q$34*O23)+(P23*$Q$35)+(Q23*$Q$36)</f>
        <v>319885.08335081243</v>
      </c>
      <c r="S23" s="136">
        <f>(P23*$N$32)*11</f>
        <v>33550</v>
      </c>
      <c r="T23" s="103">
        <f>R23+S23</f>
        <v>353435.08335081243</v>
      </c>
      <c r="U23" s="136"/>
    </row>
    <row r="24" spans="2:21" ht="11.25" customHeight="1" x14ac:dyDescent="0.2">
      <c r="B24" s="111"/>
      <c r="C24" s="112"/>
      <c r="D24" s="114"/>
      <c r="E24" s="114"/>
      <c r="F24" s="114"/>
      <c r="G24" s="120"/>
      <c r="H24" s="111"/>
      <c r="I24" s="101"/>
      <c r="J24" s="102"/>
      <c r="K24" s="102"/>
      <c r="L24" s="103"/>
      <c r="N24" s="101"/>
      <c r="O24" s="102"/>
      <c r="P24" s="102"/>
      <c r="Q24" s="102"/>
      <c r="R24" s="102"/>
      <c r="S24" s="102"/>
      <c r="T24" s="103"/>
      <c r="U24" s="136"/>
    </row>
    <row r="25" spans="2:21" ht="18.75" customHeight="1" x14ac:dyDescent="0.2">
      <c r="B25" s="167" t="s">
        <v>35</v>
      </c>
      <c r="C25" s="168"/>
      <c r="D25" s="115">
        <f>SUM(D6:D23)</f>
        <v>1049</v>
      </c>
      <c r="E25" s="115">
        <f>SUM(E6:E23)</f>
        <v>874</v>
      </c>
      <c r="F25" s="115">
        <f>SUM(F6:F23)</f>
        <v>324</v>
      </c>
      <c r="G25" s="125"/>
      <c r="H25" s="111"/>
      <c r="I25" s="124">
        <f>SUM(I6:I24)</f>
        <v>324</v>
      </c>
      <c r="J25" s="142">
        <f>SUM(J6:J24)</f>
        <v>4036968</v>
      </c>
      <c r="K25" s="142">
        <f>SUM(K6:K24)</f>
        <v>189000</v>
      </c>
      <c r="L25" s="126">
        <f>SUM(L6:L24)</f>
        <v>4225968</v>
      </c>
      <c r="N25" s="124">
        <f t="shared" ref="N25:T25" si="7">SUM(N6:N24)</f>
        <v>1125000</v>
      </c>
      <c r="O25" s="144">
        <v>1049</v>
      </c>
      <c r="P25" s="142">
        <f t="shared" si="7"/>
        <v>524.5</v>
      </c>
      <c r="Q25" s="142">
        <f t="shared" si="7"/>
        <v>324</v>
      </c>
      <c r="R25" s="142">
        <f t="shared" si="7"/>
        <v>4293776.3340814384</v>
      </c>
      <c r="S25" s="142">
        <f t="shared" si="7"/>
        <v>576950</v>
      </c>
      <c r="T25" s="126">
        <f t="shared" si="7"/>
        <v>4870726.3340814384</v>
      </c>
      <c r="U25" s="136"/>
    </row>
    <row r="26" spans="2:21" ht="11.25" customHeight="1" x14ac:dyDescent="0.2">
      <c r="B26" s="111"/>
      <c r="C26" s="110"/>
      <c r="D26" s="114"/>
      <c r="E26" s="114"/>
      <c r="F26" s="114"/>
      <c r="G26" s="120"/>
      <c r="H26" s="111"/>
      <c r="I26" s="101"/>
      <c r="J26" s="102"/>
      <c r="K26" s="102"/>
      <c r="L26" s="103"/>
      <c r="N26" s="101"/>
      <c r="O26" s="102"/>
      <c r="P26" s="102"/>
      <c r="Q26" s="102"/>
      <c r="R26" s="102"/>
      <c r="S26" s="102"/>
      <c r="T26" s="103"/>
      <c r="U26" s="136"/>
    </row>
    <row r="27" spans="2:21" ht="18.75" customHeight="1" x14ac:dyDescent="0.2">
      <c r="B27" s="111"/>
      <c r="C27" s="112" t="s">
        <v>78</v>
      </c>
      <c r="D27" s="114">
        <v>184</v>
      </c>
      <c r="E27" s="114">
        <v>161</v>
      </c>
      <c r="F27" s="114">
        <v>140</v>
      </c>
      <c r="G27" s="120">
        <v>510</v>
      </c>
      <c r="H27" s="111"/>
      <c r="I27" s="101">
        <f>$F$27</f>
        <v>140</v>
      </c>
      <c r="J27" s="102">
        <f>$D$50</f>
        <v>1666840</v>
      </c>
      <c r="K27" s="102">
        <f>$E$27*$G$27*11</f>
        <v>903210</v>
      </c>
      <c r="L27" s="103">
        <f>J27+K27</f>
        <v>2570050</v>
      </c>
      <c r="N27" s="101">
        <f>$Q$37*2</f>
        <v>150000</v>
      </c>
      <c r="O27" s="102">
        <f>D27</f>
        <v>184</v>
      </c>
      <c r="P27" s="102">
        <f>E27</f>
        <v>161</v>
      </c>
      <c r="Q27" s="102">
        <f>F27</f>
        <v>140</v>
      </c>
      <c r="R27" s="102">
        <f t="shared" ref="R27" si="8">N27+($Q$34*O27)+(P27*$Q$35)+(Q27*$Q$36)</f>
        <v>1410030.6659185612</v>
      </c>
      <c r="S27" s="102">
        <f>P27*$G$27*11</f>
        <v>903210</v>
      </c>
      <c r="T27" s="103">
        <f>R27+S27</f>
        <v>2313240.6659185612</v>
      </c>
      <c r="U27" s="136"/>
    </row>
    <row r="28" spans="2:21" ht="11.25" customHeight="1" x14ac:dyDescent="0.2">
      <c r="B28" s="111"/>
      <c r="C28" s="112"/>
      <c r="D28" s="114"/>
      <c r="E28" s="114"/>
      <c r="F28" s="114"/>
      <c r="G28" s="117"/>
      <c r="H28" s="111"/>
      <c r="I28" s="101"/>
      <c r="J28" s="102"/>
      <c r="K28" s="102"/>
      <c r="L28" s="103"/>
      <c r="N28" s="101"/>
      <c r="O28" s="102"/>
      <c r="P28" s="102"/>
      <c r="Q28" s="102"/>
      <c r="R28" s="102"/>
      <c r="S28" s="102"/>
      <c r="T28" s="103"/>
      <c r="U28" s="136"/>
    </row>
    <row r="29" spans="2:21" ht="18.75" customHeight="1" thickBot="1" x14ac:dyDescent="0.25">
      <c r="B29" s="169" t="s">
        <v>77</v>
      </c>
      <c r="C29" s="170"/>
      <c r="D29" s="116">
        <f>SUM(D25:D28)</f>
        <v>1233</v>
      </c>
      <c r="E29" s="116">
        <f t="shared" ref="E29:F29" si="9">SUM(E25:E28)</f>
        <v>1035</v>
      </c>
      <c r="F29" s="116">
        <f t="shared" si="9"/>
        <v>464</v>
      </c>
      <c r="G29" s="138"/>
      <c r="H29" s="111"/>
      <c r="I29" s="122">
        <f>SUM(I25:I28)</f>
        <v>464</v>
      </c>
      <c r="J29" s="123">
        <f>SUM(J25:J28)</f>
        <v>5703808</v>
      </c>
      <c r="K29" s="123">
        <f>SUM(K25:K28)</f>
        <v>1092210</v>
      </c>
      <c r="L29" s="127">
        <f>SUM(L25:L28)</f>
        <v>6796018</v>
      </c>
      <c r="N29" s="122">
        <f t="shared" ref="N29:T29" si="10">SUM(N25:N28)</f>
        <v>1275000</v>
      </c>
      <c r="O29" s="123">
        <v>1233</v>
      </c>
      <c r="P29" s="123">
        <f t="shared" si="10"/>
        <v>685.5</v>
      </c>
      <c r="Q29" s="123">
        <f t="shared" si="10"/>
        <v>464</v>
      </c>
      <c r="R29" s="123">
        <f t="shared" si="10"/>
        <v>5703807</v>
      </c>
      <c r="S29" s="123">
        <f t="shared" si="10"/>
        <v>1480160</v>
      </c>
      <c r="T29" s="127">
        <f t="shared" si="10"/>
        <v>7183967</v>
      </c>
      <c r="U29" s="136"/>
    </row>
    <row r="30" spans="2:21" ht="11.25" customHeight="1" thickTop="1" x14ac:dyDescent="0.2">
      <c r="B30" s="145"/>
      <c r="C30" s="145"/>
      <c r="D30" s="114"/>
      <c r="E30" s="114"/>
      <c r="F30" s="114"/>
      <c r="G30" s="117"/>
      <c r="H30" s="110"/>
      <c r="I30" s="102"/>
      <c r="J30" s="102"/>
      <c r="K30" s="102"/>
      <c r="L30" s="136"/>
      <c r="N30" s="102"/>
      <c r="O30" s="102"/>
      <c r="P30" s="102"/>
      <c r="Q30" s="102"/>
      <c r="R30" s="102"/>
      <c r="S30" s="102"/>
      <c r="T30" s="136"/>
      <c r="U30" s="136"/>
    </row>
    <row r="31" spans="2:21" x14ac:dyDescent="0.2">
      <c r="C31" s="108"/>
      <c r="D31" s="1"/>
      <c r="I31" s="106"/>
      <c r="J31" s="104" t="s">
        <v>98</v>
      </c>
      <c r="K31" s="104"/>
      <c r="L31" s="104"/>
      <c r="P31" s="104"/>
      <c r="Q31" s="104"/>
      <c r="R31" s="104"/>
      <c r="S31" s="104"/>
      <c r="T31" s="104"/>
      <c r="U31" s="149"/>
    </row>
    <row r="32" spans="2:21" x14ac:dyDescent="0.2">
      <c r="I32" s="106">
        <f>J9</f>
        <v>202752</v>
      </c>
      <c r="J32" s="104" t="s">
        <v>97</v>
      </c>
      <c r="K32" s="104"/>
      <c r="L32" s="104"/>
      <c r="N32" s="105">
        <v>100</v>
      </c>
      <c r="O32" s="104" t="s">
        <v>99</v>
      </c>
      <c r="P32" s="104"/>
      <c r="Q32" s="104"/>
      <c r="R32" s="104"/>
      <c r="T32" s="104"/>
      <c r="U32" s="149"/>
    </row>
    <row r="33" spans="3:21" x14ac:dyDescent="0.2">
      <c r="I33" s="105">
        <v>11944</v>
      </c>
      <c r="J33" s="163" t="s">
        <v>74</v>
      </c>
      <c r="K33" s="163"/>
      <c r="L33" s="163"/>
      <c r="N33" s="105">
        <f>$D$48</f>
        <v>5703807</v>
      </c>
      <c r="O33" s="151" t="s">
        <v>102</v>
      </c>
      <c r="P33" s="151"/>
      <c r="Q33" s="151"/>
      <c r="U33" s="150"/>
    </row>
    <row r="34" spans="3:21" x14ac:dyDescent="0.2">
      <c r="I34" s="105">
        <f>I29</f>
        <v>464</v>
      </c>
      <c r="J34" s="163" t="s">
        <v>100</v>
      </c>
      <c r="K34" s="163"/>
      <c r="L34" s="163"/>
      <c r="N34" s="106">
        <v>500000</v>
      </c>
      <c r="O34" s="141" t="s">
        <v>105</v>
      </c>
      <c r="P34" s="105"/>
      <c r="Q34" s="143">
        <f>N34/O29</f>
        <v>405.51500405515003</v>
      </c>
      <c r="R34" s="97" t="s">
        <v>103</v>
      </c>
      <c r="U34" s="150"/>
    </row>
    <row r="35" spans="3:21" x14ac:dyDescent="0.2">
      <c r="I35" s="105">
        <f>$D$48</f>
        <v>5703807</v>
      </c>
      <c r="J35" s="163" t="s">
        <v>101</v>
      </c>
      <c r="K35" s="163"/>
      <c r="L35" s="163"/>
      <c r="N35" s="106">
        <v>0</v>
      </c>
      <c r="O35" s="141" t="s">
        <v>95</v>
      </c>
      <c r="P35" s="105"/>
      <c r="Q35" s="105">
        <f>N35/P29</f>
        <v>0</v>
      </c>
      <c r="R35" s="97" t="s">
        <v>103</v>
      </c>
      <c r="U35" s="150"/>
    </row>
    <row r="36" spans="3:21" x14ac:dyDescent="0.2">
      <c r="I36" s="106"/>
      <c r="J36" s="163"/>
      <c r="K36" s="163"/>
      <c r="L36" s="163"/>
      <c r="N36" s="106">
        <f>N33-N34-N35-N37</f>
        <v>3928807</v>
      </c>
      <c r="O36" s="141" t="s">
        <v>106</v>
      </c>
      <c r="P36" s="141"/>
      <c r="Q36" s="105">
        <f>N36/Q29</f>
        <v>8467.2564655172409</v>
      </c>
      <c r="R36" s="97" t="s">
        <v>103</v>
      </c>
      <c r="U36" s="150"/>
    </row>
    <row r="37" spans="3:21" x14ac:dyDescent="0.2">
      <c r="I37" s="106"/>
      <c r="J37" s="163"/>
      <c r="K37" s="163"/>
      <c r="L37" s="163"/>
      <c r="N37" s="106">
        <f>Q37*17</f>
        <v>1275000</v>
      </c>
      <c r="O37" s="106" t="s">
        <v>88</v>
      </c>
      <c r="Q37" s="105">
        <v>75000</v>
      </c>
      <c r="R37" s="141" t="s">
        <v>93</v>
      </c>
      <c r="T37" s="143"/>
      <c r="U37" s="150"/>
    </row>
    <row r="38" spans="3:21" hidden="1" x14ac:dyDescent="0.2">
      <c r="I38" s="104"/>
      <c r="J38" s="104"/>
      <c r="K38" s="104"/>
      <c r="L38" s="104"/>
      <c r="N38" s="104"/>
      <c r="O38" s="104"/>
      <c r="P38" s="104"/>
      <c r="Q38" s="104"/>
      <c r="R38" s="104"/>
      <c r="S38" s="104"/>
      <c r="T38" s="104"/>
      <c r="U38" s="149"/>
    </row>
    <row r="39" spans="3:21" hidden="1" x14ac:dyDescent="0.2">
      <c r="C39" s="108" t="s">
        <v>40</v>
      </c>
      <c r="D39" s="1">
        <f>11311*1.0131*1.0095*1.0213*1.011</f>
        <v>11944.394215846884</v>
      </c>
      <c r="I39" s="104"/>
      <c r="J39" s="104"/>
      <c r="K39" s="104"/>
      <c r="L39" s="104"/>
      <c r="N39" s="104"/>
      <c r="O39" s="104"/>
      <c r="P39" s="104"/>
      <c r="Q39" s="104"/>
      <c r="R39" s="104"/>
      <c r="S39" s="104"/>
      <c r="T39" s="104"/>
      <c r="U39" s="149"/>
    </row>
    <row r="40" spans="3:21" hidden="1" x14ac:dyDescent="0.2">
      <c r="D40" s="1"/>
      <c r="I40" s="104"/>
      <c r="J40" s="104"/>
      <c r="K40" s="104"/>
      <c r="L40" s="104"/>
      <c r="N40" s="104"/>
      <c r="O40" s="104"/>
      <c r="P40" s="104"/>
      <c r="Q40" s="104"/>
      <c r="R40" s="104"/>
      <c r="S40" s="104"/>
      <c r="T40" s="104"/>
      <c r="U40" s="149"/>
    </row>
    <row r="41" spans="3:21" hidden="1" x14ac:dyDescent="0.2">
      <c r="C41" s="108" t="s">
        <v>41</v>
      </c>
      <c r="D41" s="1">
        <f>192000*1.0131*1.0095*1.0213*1.011</f>
        <v>202751.63022213793</v>
      </c>
      <c r="E41" s="137" t="s">
        <v>86</v>
      </c>
      <c r="I41" s="104"/>
      <c r="J41" s="104"/>
      <c r="K41" s="104"/>
      <c r="L41" s="104"/>
      <c r="N41" s="104"/>
      <c r="O41" s="104"/>
      <c r="P41" s="104"/>
      <c r="Q41" s="104"/>
      <c r="R41" s="104"/>
      <c r="S41" s="104"/>
      <c r="T41" s="104"/>
      <c r="U41" s="149"/>
    </row>
    <row r="42" spans="3:21" hidden="1" x14ac:dyDescent="0.2">
      <c r="D42" s="1"/>
      <c r="I42" s="104"/>
      <c r="J42" s="104"/>
      <c r="K42" s="104"/>
      <c r="L42" s="104"/>
      <c r="N42" s="104"/>
      <c r="O42" s="104"/>
      <c r="P42" s="104"/>
      <c r="Q42" s="104"/>
      <c r="R42" s="104"/>
      <c r="S42" s="104"/>
      <c r="T42" s="104"/>
      <c r="U42" s="149"/>
    </row>
    <row r="43" spans="3:21" hidden="1" x14ac:dyDescent="0.2">
      <c r="D43" s="1"/>
      <c r="I43" s="104"/>
      <c r="J43" s="104"/>
      <c r="K43" s="104"/>
      <c r="L43" s="104"/>
      <c r="N43" s="104"/>
      <c r="O43" s="104"/>
      <c r="P43" s="104"/>
      <c r="Q43" s="104"/>
      <c r="R43" s="104"/>
      <c r="S43" s="104"/>
      <c r="T43" s="104"/>
      <c r="U43" s="149"/>
    </row>
    <row r="44" spans="3:21" hidden="1" x14ac:dyDescent="0.2">
      <c r="C44" s="121" t="s">
        <v>48</v>
      </c>
      <c r="D44" s="1"/>
      <c r="I44" s="104"/>
      <c r="J44" s="104"/>
      <c r="K44" s="104"/>
      <c r="L44" s="104"/>
      <c r="N44" s="104"/>
      <c r="O44" s="104"/>
      <c r="P44" s="104"/>
      <c r="Q44" s="104"/>
      <c r="R44" s="104"/>
      <c r="S44" s="104"/>
      <c r="T44" s="104"/>
      <c r="U44" s="149"/>
    </row>
    <row r="45" spans="3:21" hidden="1" x14ac:dyDescent="0.2">
      <c r="C45" s="71" t="s">
        <v>1</v>
      </c>
      <c r="D45" s="1">
        <f>6072299+263209</f>
        <v>6335508</v>
      </c>
      <c r="I45" s="104"/>
      <c r="J45" s="104"/>
      <c r="K45" s="104"/>
      <c r="L45" s="104"/>
      <c r="N45" s="104"/>
      <c r="O45" s="104"/>
      <c r="P45" s="104"/>
      <c r="Q45" s="104"/>
      <c r="R45" s="104"/>
      <c r="S45" s="104"/>
      <c r="T45" s="104"/>
      <c r="U45" s="149"/>
    </row>
    <row r="46" spans="3:21" hidden="1" x14ac:dyDescent="0.2">
      <c r="C46" s="71" t="s">
        <v>81</v>
      </c>
      <c r="D46" s="1">
        <v>0</v>
      </c>
      <c r="I46" s="104"/>
      <c r="J46" s="104"/>
      <c r="K46" s="104"/>
      <c r="L46" s="104"/>
      <c r="N46" s="104"/>
      <c r="O46" s="104"/>
      <c r="P46" s="104"/>
      <c r="Q46" s="104"/>
      <c r="R46" s="104"/>
      <c r="S46" s="104"/>
      <c r="T46" s="104"/>
      <c r="U46" s="149"/>
    </row>
    <row r="47" spans="3:21" hidden="1" x14ac:dyDescent="0.2">
      <c r="C47" s="71" t="s">
        <v>82</v>
      </c>
      <c r="D47" s="1">
        <v>-631701</v>
      </c>
      <c r="I47" s="104"/>
      <c r="J47" s="104"/>
      <c r="K47" s="104"/>
      <c r="L47" s="104"/>
      <c r="N47" s="104"/>
      <c r="O47" s="104"/>
      <c r="P47" s="104"/>
      <c r="Q47" s="104"/>
      <c r="R47" s="104"/>
      <c r="S47" s="104"/>
      <c r="T47" s="104"/>
      <c r="U47" s="149"/>
    </row>
    <row r="48" spans="3:21" ht="13.5" hidden="1" thickBot="1" x14ac:dyDescent="0.25">
      <c r="C48" s="108" t="s">
        <v>83</v>
      </c>
      <c r="D48" s="2">
        <f>SUM(D45:D47)</f>
        <v>5703807</v>
      </c>
      <c r="I48" s="104"/>
      <c r="J48" s="104"/>
      <c r="K48" s="104"/>
      <c r="L48" s="104"/>
      <c r="N48" s="104"/>
      <c r="O48" s="104"/>
      <c r="P48" s="104"/>
      <c r="Q48" s="104"/>
      <c r="R48" s="104"/>
      <c r="S48" s="104"/>
      <c r="T48" s="104"/>
      <c r="U48" s="149"/>
    </row>
    <row r="49" spans="3:21" ht="13.5" hidden="1" thickTop="1" x14ac:dyDescent="0.2">
      <c r="D49" s="1"/>
      <c r="I49" s="104"/>
      <c r="J49" s="104"/>
      <c r="K49" s="104"/>
      <c r="L49" s="104"/>
      <c r="N49" s="104"/>
      <c r="O49" s="104"/>
      <c r="P49" s="104"/>
      <c r="Q49" s="104"/>
      <c r="R49" s="104"/>
      <c r="S49" s="104"/>
      <c r="T49" s="104"/>
      <c r="U49" s="149"/>
    </row>
    <row r="50" spans="3:21" ht="25.5" hidden="1" x14ac:dyDescent="0.2">
      <c r="C50" s="139" t="s">
        <v>87</v>
      </c>
      <c r="D50" s="1">
        <v>1666840</v>
      </c>
      <c r="I50" s="104"/>
      <c r="J50" s="104"/>
      <c r="K50" s="104"/>
      <c r="L50" s="104"/>
      <c r="N50" s="104"/>
      <c r="O50" s="104"/>
      <c r="P50" s="104"/>
      <c r="Q50" s="104"/>
      <c r="R50" s="104"/>
      <c r="S50" s="104"/>
      <c r="T50" s="104"/>
      <c r="U50" s="149"/>
    </row>
    <row r="51" spans="3:21" hidden="1" x14ac:dyDescent="0.2">
      <c r="D51" s="1"/>
      <c r="I51" s="104"/>
      <c r="J51" s="104"/>
      <c r="K51" s="104"/>
      <c r="L51" s="104"/>
      <c r="N51" s="104"/>
      <c r="O51" s="104"/>
      <c r="P51" s="104"/>
      <c r="Q51" s="104"/>
      <c r="R51" s="104"/>
      <c r="S51" s="104"/>
      <c r="T51" s="104"/>
      <c r="U51" s="149"/>
    </row>
    <row r="52" spans="3:21" hidden="1" x14ac:dyDescent="0.2">
      <c r="C52" s="108" t="s">
        <v>84</v>
      </c>
      <c r="D52" s="140">
        <f>D48-D50</f>
        <v>4036967</v>
      </c>
      <c r="I52" s="104"/>
      <c r="J52" s="104"/>
      <c r="K52" s="104"/>
      <c r="L52" s="104"/>
      <c r="N52" s="104"/>
      <c r="O52" s="104"/>
      <c r="P52" s="104"/>
      <c r="Q52" s="104"/>
      <c r="R52" s="104"/>
      <c r="S52" s="104"/>
      <c r="T52" s="104"/>
      <c r="U52" s="149"/>
    </row>
    <row r="53" spans="3:21" hidden="1" x14ac:dyDescent="0.2">
      <c r="D53" s="1"/>
      <c r="I53" s="104"/>
      <c r="J53" s="104"/>
      <c r="K53" s="104"/>
      <c r="L53" s="104"/>
      <c r="N53" s="104"/>
      <c r="O53" s="104"/>
      <c r="P53" s="104"/>
      <c r="Q53" s="104"/>
      <c r="R53" s="104"/>
      <c r="S53" s="104"/>
      <c r="T53" s="104"/>
      <c r="U53" s="149"/>
    </row>
    <row r="54" spans="3:21" x14ac:dyDescent="0.2">
      <c r="I54" s="104"/>
      <c r="J54" s="104"/>
      <c r="K54" s="104"/>
      <c r="L54" s="104"/>
      <c r="N54" s="104"/>
      <c r="O54" s="104"/>
      <c r="P54" s="104"/>
      <c r="Q54" s="104"/>
      <c r="R54" s="104"/>
      <c r="S54" s="104"/>
      <c r="T54" s="104"/>
      <c r="U54" s="149"/>
    </row>
    <row r="55" spans="3:21" x14ac:dyDescent="0.2">
      <c r="I55" s="104"/>
      <c r="J55" s="104"/>
      <c r="K55" s="104"/>
      <c r="L55" s="104"/>
      <c r="N55" s="104"/>
      <c r="O55" s="104"/>
      <c r="P55" s="104"/>
      <c r="Q55" s="104"/>
      <c r="R55" s="104"/>
      <c r="S55" s="104"/>
      <c r="T55" s="104"/>
      <c r="U55" s="149"/>
    </row>
    <row r="56" spans="3:21" x14ac:dyDescent="0.2">
      <c r="I56" s="104"/>
      <c r="J56" s="104"/>
      <c r="K56" s="104"/>
      <c r="L56" s="104"/>
      <c r="N56" s="104"/>
      <c r="O56" s="104"/>
      <c r="P56" s="104"/>
      <c r="Q56" s="104"/>
      <c r="R56" s="104"/>
      <c r="S56" s="104"/>
      <c r="T56" s="104"/>
      <c r="U56" s="149"/>
    </row>
    <row r="57" spans="3:21" x14ac:dyDescent="0.2">
      <c r="I57" s="104"/>
      <c r="J57" s="104"/>
      <c r="K57" s="104"/>
      <c r="L57" s="104"/>
      <c r="U57" s="149"/>
    </row>
    <row r="58" spans="3:21" x14ac:dyDescent="0.2">
      <c r="F58" s="109"/>
      <c r="G58"/>
      <c r="H58" s="97"/>
      <c r="L58"/>
      <c r="M58" s="97"/>
      <c r="T58" s="146"/>
      <c r="U58"/>
    </row>
  </sheetData>
  <mergeCells count="10">
    <mergeCell ref="N3:T3"/>
    <mergeCell ref="B4:C4"/>
    <mergeCell ref="B25:C25"/>
    <mergeCell ref="B29:C29"/>
    <mergeCell ref="I3:L3"/>
    <mergeCell ref="J37:L37"/>
    <mergeCell ref="J35:L35"/>
    <mergeCell ref="J34:L34"/>
    <mergeCell ref="J36:L36"/>
    <mergeCell ref="J33:L33"/>
  </mergeCells>
  <pageMargins left="3.937007874015748E-2" right="3.937007874015748E-2" top="0.51181102362204722" bottom="0.31496062992125984" header="0.31496062992125984" footer="0.31496062992125984"/>
  <pageSetup paperSize="9" scale="80" orientation="landscape" r:id="rId1"/>
  <headerFooter>
    <oddFooter>&amp;L&amp;Z&amp;F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2018-06-12T11:00:00+00:00</MeetingStartDate>
    <EnclosureFileNumber xmlns="d08b57ff-b9b7-4581-975d-98f87b579a51">79032/18</EnclosureFileNumber>
    <AgendaId xmlns="d08b57ff-b9b7-4581-975d-98f87b579a51">8499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2904249</FusionId>
    <AgendaAccessLevelName xmlns="d08b57ff-b9b7-4581-975d-98f87b579a51">Åben</AgendaAccessLevelName>
    <UNC xmlns="d08b57ff-b9b7-4581-975d-98f87b579a51">2643008</UNC>
    <MeetingTitle xmlns="d08b57ff-b9b7-4581-975d-98f87b579a51">12-06-2018</MeetingTitle>
    <MeetingDateAndTime xmlns="d08b57ff-b9b7-4581-975d-98f87b579a51">12-06-2018 fra 13:00 - 16:50</MeetingDateAndTime>
    <MeetingEndDate xmlns="d08b57ff-b9b7-4581-975d-98f87b579a51">2018-06-12T14:50:00+00:00</MeetingEndDate>
    <PWDescription xmlns="d08b57ff-b9b7-4581-975d-98f87b579a51">Model 2 - Juniorklubber - forslag til  tildelingsmodel fra august 2018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8DF664-C7FB-4E9F-9DE3-CFAE33DBD5E8}"/>
</file>

<file path=customXml/itemProps2.xml><?xml version="1.0" encoding="utf-8"?>
<ds:datastoreItem xmlns:ds="http://schemas.openxmlformats.org/officeDocument/2006/customXml" ds:itemID="{A1D4E9EA-08E8-46FD-B61E-5E0C425C5B2E}"/>
</file>

<file path=customXml/itemProps3.xml><?xml version="1.0" encoding="utf-8"?>
<ds:datastoreItem xmlns:ds="http://schemas.openxmlformats.org/officeDocument/2006/customXml" ds:itemID="{6AF449BF-3172-460C-97CA-669B7541D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Jr. Beregning Opr.</vt:lpstr>
      <vt:lpstr>Model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-12-06-2018 - Bilag 86.02 Model 2 - Juniorklubber - forslag til  tildelingsmodel fra august 2018</dc:title>
  <dc:creator>Lissy Andersen</dc:creator>
  <cp:lastModifiedBy>Jette Poulsen</cp:lastModifiedBy>
  <cp:lastPrinted>2018-05-28T08:35:09Z</cp:lastPrinted>
  <dcterms:created xsi:type="dcterms:W3CDTF">1996-11-12T13:28:11Z</dcterms:created>
  <dcterms:modified xsi:type="dcterms:W3CDTF">2018-05-28T08:35:11Z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{DB28D832-3202-4C38-8683-2F7902C43F80}</vt:lpwstr>
  </property>
  <property fmtid="{D5CDD505-2E9C-101B-9397-08002B2CF9AE}" pid="3" name="ContentTypeId">
    <vt:lpwstr>0x0101003D7BFBD5F481E14985D820F2A1C38BC800C867DCA9723D5D41B98144D00A8161C2</vt:lpwstr>
  </property>
</Properties>
</file>